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/>
  <xr:revisionPtr revIDLastSave="0" documentId="13_ncr:1_{E69CCFD7-A884-DF41-8557-63A74576BCFE}" xr6:coauthVersionLast="45" xr6:coauthVersionMax="45" xr10:uidLastSave="{00000000-0000-0000-0000-000000000000}"/>
  <bookViews>
    <workbookView xWindow="0" yWindow="460" windowWidth="22260" windowHeight="12640" xr2:uid="{00000000-000D-0000-FFFF-FFFF00000000}"/>
  </bookViews>
  <sheets>
    <sheet name="Inputs" sheetId="1" r:id="rId1"/>
    <sheet name="Mod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D23" i="1" l="1"/>
  <c r="E23" i="1"/>
  <c r="G23" i="1"/>
  <c r="D25" i="1"/>
  <c r="E25" i="1"/>
  <c r="G25" i="1"/>
  <c r="G11" i="1" l="1"/>
  <c r="G10" i="1"/>
  <c r="G9" i="1"/>
  <c r="G8" i="1"/>
  <c r="G7" i="1"/>
  <c r="E11" i="1"/>
  <c r="E10" i="1"/>
  <c r="E8" i="1"/>
  <c r="E7" i="1"/>
  <c r="D11" i="1"/>
  <c r="D10" i="1"/>
  <c r="D8" i="1"/>
  <c r="D7" i="1"/>
  <c r="G20" i="1"/>
  <c r="E20" i="1"/>
  <c r="D20" i="1"/>
  <c r="D3" i="1" l="1"/>
  <c r="D13" i="1"/>
  <c r="G4" i="1"/>
  <c r="G13" i="1"/>
  <c r="E4" i="1"/>
  <c r="E13" i="1"/>
  <c r="G12" i="1"/>
  <c r="D4" i="1"/>
  <c r="G3" i="1"/>
  <c r="E3" i="1"/>
  <c r="F14" i="1"/>
  <c r="F17" i="1" s="1"/>
  <c r="G27" i="1" l="1"/>
  <c r="E51" i="1"/>
  <c r="E31" i="1"/>
  <c r="E24" i="1" s="1"/>
  <c r="D31" i="1"/>
  <c r="D24" i="1" s="1"/>
  <c r="G31" i="1"/>
  <c r="G29" i="1"/>
  <c r="G28" i="1"/>
  <c r="G14" i="1" l="1"/>
  <c r="G15" i="1" s="1"/>
  <c r="G16" i="1" s="1"/>
  <c r="R21" i="2"/>
  <c r="G24" i="1"/>
  <c r="O21" i="2"/>
  <c r="K21" i="2"/>
  <c r="I21" i="2"/>
  <c r="N21" i="2"/>
  <c r="H21" i="2"/>
  <c r="M21" i="2"/>
  <c r="P21" i="2"/>
  <c r="J21" i="2"/>
  <c r="L21" i="2"/>
  <c r="Q21" i="2"/>
  <c r="G30" i="1"/>
  <c r="C51" i="1"/>
  <c r="D51" i="1"/>
  <c r="P22" i="2" l="1"/>
  <c r="P23" i="2" s="1"/>
  <c r="L22" i="2"/>
  <c r="L23" i="2" s="1"/>
  <c r="H22" i="2"/>
  <c r="H23" i="2" s="1"/>
  <c r="O22" i="2"/>
  <c r="O23" i="2" s="1"/>
  <c r="K22" i="2"/>
  <c r="K23" i="2" s="1"/>
  <c r="R22" i="2"/>
  <c r="R23" i="2" s="1"/>
  <c r="N22" i="2"/>
  <c r="N23" i="2" s="1"/>
  <c r="J22" i="2"/>
  <c r="J23" i="2" s="1"/>
  <c r="Q22" i="2"/>
  <c r="Q23" i="2" s="1"/>
  <c r="M22" i="2"/>
  <c r="M23" i="2" s="1"/>
  <c r="I22" i="2"/>
  <c r="I23" i="2" s="1"/>
  <c r="E14" i="1"/>
  <c r="E15" i="1" s="1"/>
  <c r="E16" i="1" s="1"/>
  <c r="BX4" i="2"/>
  <c r="N12" i="2"/>
  <c r="E27" i="1"/>
  <c r="S12" i="2"/>
  <c r="I12" i="2"/>
  <c r="BL4" i="2"/>
  <c r="X12" i="2"/>
  <c r="Q12" i="2"/>
  <c r="L12" i="2"/>
  <c r="AD4" i="2"/>
  <c r="Y4" i="2"/>
  <c r="AP4" i="2"/>
  <c r="BS4" i="2"/>
  <c r="M4" i="2"/>
  <c r="BY4" i="2"/>
  <c r="AL4" i="2"/>
  <c r="BR4" i="2"/>
  <c r="BI4" i="2"/>
  <c r="AG4" i="2"/>
  <c r="BM4" i="2"/>
  <c r="R4" i="2"/>
  <c r="AX4" i="2"/>
  <c r="K4" i="2"/>
  <c r="AA4" i="2"/>
  <c r="AQ4" i="2"/>
  <c r="BG4" i="2"/>
  <c r="BW4" i="2"/>
  <c r="T4" i="2"/>
  <c r="AJ4" i="2"/>
  <c r="AZ4" i="2"/>
  <c r="BP4" i="2"/>
  <c r="J12" i="2"/>
  <c r="Y12" i="2"/>
  <c r="V12" i="2"/>
  <c r="W12" i="2"/>
  <c r="P12" i="2"/>
  <c r="BQ4" i="2"/>
  <c r="BJ4" i="2"/>
  <c r="BE4" i="2"/>
  <c r="W4" i="2"/>
  <c r="BC4" i="2"/>
  <c r="AF4" i="2"/>
  <c r="AC4" i="2"/>
  <c r="N4" i="2"/>
  <c r="AT4" i="2"/>
  <c r="BZ4" i="2"/>
  <c r="I4" i="2"/>
  <c r="AO4" i="2"/>
  <c r="BU4" i="2"/>
  <c r="Z4" i="2"/>
  <c r="BF4" i="2"/>
  <c r="O4" i="2"/>
  <c r="AE4" i="2"/>
  <c r="AU4" i="2"/>
  <c r="BK4" i="2"/>
  <c r="H4" i="2"/>
  <c r="X4" i="2"/>
  <c r="AN4" i="2"/>
  <c r="BD4" i="2"/>
  <c r="BT4" i="2"/>
  <c r="R12" i="2"/>
  <c r="M12" i="2"/>
  <c r="K12" i="2"/>
  <c r="AA12" i="2"/>
  <c r="T12" i="2"/>
  <c r="D29" i="1"/>
  <c r="D27" i="1"/>
  <c r="D28" i="1"/>
  <c r="AS4" i="2"/>
  <c r="J4" i="2"/>
  <c r="BV4" i="2"/>
  <c r="AM4" i="2"/>
  <c r="P4" i="2"/>
  <c r="AV4" i="2"/>
  <c r="E28" i="1"/>
  <c r="E29" i="1"/>
  <c r="BA4" i="2"/>
  <c r="V4" i="2"/>
  <c r="BB4" i="2"/>
  <c r="U4" i="2"/>
  <c r="Q4" i="2"/>
  <c r="AW4" i="2"/>
  <c r="AK4" i="2"/>
  <c r="AH4" i="2"/>
  <c r="BN4" i="2"/>
  <c r="S4" i="2"/>
  <c r="AI4" i="2"/>
  <c r="AY4" i="2"/>
  <c r="BO4" i="2"/>
  <c r="L4" i="2"/>
  <c r="AB4" i="2"/>
  <c r="AR4" i="2"/>
  <c r="BH4" i="2"/>
  <c r="Z12" i="2"/>
  <c r="U12" i="2"/>
  <c r="O12" i="2"/>
  <c r="H12" i="2"/>
  <c r="D14" i="1"/>
  <c r="D15" i="1" l="1"/>
  <c r="D16" i="1" s="1"/>
  <c r="D17" i="1" s="1"/>
  <c r="E30" i="1"/>
  <c r="G17" i="1"/>
  <c r="D30" i="1"/>
  <c r="E17" i="1" l="1"/>
  <c r="F12" i="2" s="1"/>
  <c r="F14" i="2" s="1"/>
  <c r="F21" i="2"/>
  <c r="F23" i="2" s="1"/>
  <c r="E21" i="2"/>
  <c r="E23" i="2" s="1"/>
  <c r="D21" i="2"/>
  <c r="D23" i="2" s="1"/>
  <c r="G21" i="2"/>
  <c r="G23" i="2" s="1"/>
  <c r="G4" i="2"/>
  <c r="G6" i="2" s="1"/>
  <c r="F4" i="2"/>
  <c r="F6" i="2" s="1"/>
  <c r="D4" i="2"/>
  <c r="D6" i="2" s="1"/>
  <c r="E4" i="2"/>
  <c r="E6" i="2" s="1"/>
  <c r="BX5" i="2"/>
  <c r="BX6" i="2" s="1"/>
  <c r="BT5" i="2"/>
  <c r="BT6" i="2" s="1"/>
  <c r="BP5" i="2"/>
  <c r="BP6" i="2" s="1"/>
  <c r="BL5" i="2"/>
  <c r="BL6" i="2" s="1"/>
  <c r="BH5" i="2"/>
  <c r="BH6" i="2" s="1"/>
  <c r="BD5" i="2"/>
  <c r="BD6" i="2" s="1"/>
  <c r="AZ5" i="2"/>
  <c r="AZ6" i="2" s="1"/>
  <c r="AV5" i="2"/>
  <c r="AV6" i="2" s="1"/>
  <c r="AR5" i="2"/>
  <c r="AR6" i="2" s="1"/>
  <c r="AN5" i="2"/>
  <c r="AN6" i="2" s="1"/>
  <c r="AJ5" i="2"/>
  <c r="AJ6" i="2" s="1"/>
  <c r="AF5" i="2"/>
  <c r="AF6" i="2" s="1"/>
  <c r="AB5" i="2"/>
  <c r="AB6" i="2" s="1"/>
  <c r="X5" i="2"/>
  <c r="X6" i="2" s="1"/>
  <c r="T5" i="2"/>
  <c r="T6" i="2" s="1"/>
  <c r="P5" i="2"/>
  <c r="P6" i="2" s="1"/>
  <c r="L5" i="2"/>
  <c r="L6" i="2" s="1"/>
  <c r="H5" i="2"/>
  <c r="H6" i="2" s="1"/>
  <c r="BW5" i="2"/>
  <c r="BW6" i="2" s="1"/>
  <c r="BS5" i="2"/>
  <c r="BS6" i="2" s="1"/>
  <c r="BO5" i="2"/>
  <c r="BO6" i="2" s="1"/>
  <c r="BK5" i="2"/>
  <c r="BK6" i="2" s="1"/>
  <c r="BG5" i="2"/>
  <c r="BG6" i="2" s="1"/>
  <c r="BC5" i="2"/>
  <c r="BC6" i="2" s="1"/>
  <c r="AY5" i="2"/>
  <c r="AY6" i="2" s="1"/>
  <c r="AU5" i="2"/>
  <c r="AU6" i="2" s="1"/>
  <c r="BZ5" i="2"/>
  <c r="BZ6" i="2" s="1"/>
  <c r="BR5" i="2"/>
  <c r="BR6" i="2" s="1"/>
  <c r="BJ5" i="2"/>
  <c r="BJ6" i="2" s="1"/>
  <c r="BB5" i="2"/>
  <c r="BB6" i="2" s="1"/>
  <c r="AT5" i="2"/>
  <c r="AT6" i="2" s="1"/>
  <c r="AO5" i="2"/>
  <c r="AO6" i="2" s="1"/>
  <c r="AI5" i="2"/>
  <c r="AI6" i="2" s="1"/>
  <c r="AD5" i="2"/>
  <c r="AD6" i="2" s="1"/>
  <c r="Y5" i="2"/>
  <c r="Y6" i="2" s="1"/>
  <c r="S5" i="2"/>
  <c r="S6" i="2" s="1"/>
  <c r="N5" i="2"/>
  <c r="N6" i="2" s="1"/>
  <c r="I5" i="2"/>
  <c r="I6" i="2" s="1"/>
  <c r="AW5" i="2"/>
  <c r="AW6" i="2" s="1"/>
  <c r="Z5" i="2"/>
  <c r="Z6" i="2" s="1"/>
  <c r="J5" i="2"/>
  <c r="J6" i="2" s="1"/>
  <c r="BY5" i="2"/>
  <c r="BY6" i="2" s="1"/>
  <c r="BQ5" i="2"/>
  <c r="BQ6" i="2" s="1"/>
  <c r="BI5" i="2"/>
  <c r="BI6" i="2" s="1"/>
  <c r="BA5" i="2"/>
  <c r="BA6" i="2" s="1"/>
  <c r="AS5" i="2"/>
  <c r="AS6" i="2" s="1"/>
  <c r="AM5" i="2"/>
  <c r="AM6" i="2" s="1"/>
  <c r="AH5" i="2"/>
  <c r="AH6" i="2" s="1"/>
  <c r="AC5" i="2"/>
  <c r="AC6" i="2" s="1"/>
  <c r="W5" i="2"/>
  <c r="W6" i="2" s="1"/>
  <c r="R5" i="2"/>
  <c r="R6" i="2" s="1"/>
  <c r="M5" i="2"/>
  <c r="M6" i="2" s="1"/>
  <c r="BM5" i="2"/>
  <c r="BM6" i="2" s="1"/>
  <c r="AK5" i="2"/>
  <c r="AK6" i="2" s="1"/>
  <c r="O5" i="2"/>
  <c r="O6" i="2" s="1"/>
  <c r="BV5" i="2"/>
  <c r="BV6" i="2" s="1"/>
  <c r="BN5" i="2"/>
  <c r="BN6" i="2" s="1"/>
  <c r="BF5" i="2"/>
  <c r="BF6" i="2" s="1"/>
  <c r="AX5" i="2"/>
  <c r="AX6" i="2" s="1"/>
  <c r="AQ5" i="2"/>
  <c r="AQ6" i="2" s="1"/>
  <c r="AL5" i="2"/>
  <c r="AL6" i="2" s="1"/>
  <c r="AG5" i="2"/>
  <c r="AG6" i="2" s="1"/>
  <c r="AA5" i="2"/>
  <c r="AA6" i="2" s="1"/>
  <c r="V5" i="2"/>
  <c r="V6" i="2" s="1"/>
  <c r="Q5" i="2"/>
  <c r="Q6" i="2" s="1"/>
  <c r="K5" i="2"/>
  <c r="K6" i="2" s="1"/>
  <c r="BU5" i="2"/>
  <c r="BU6" i="2" s="1"/>
  <c r="BE5" i="2"/>
  <c r="BE6" i="2" s="1"/>
  <c r="AP5" i="2"/>
  <c r="AP6" i="2" s="1"/>
  <c r="AE5" i="2"/>
  <c r="AE6" i="2" s="1"/>
  <c r="U5" i="2"/>
  <c r="U6" i="2" s="1"/>
  <c r="D12" i="2"/>
  <c r="D14" i="2" s="1"/>
  <c r="X13" i="2"/>
  <c r="X14" i="2" s="1"/>
  <c r="T13" i="2"/>
  <c r="T14" i="2" s="1"/>
  <c r="P13" i="2"/>
  <c r="P14" i="2" s="1"/>
  <c r="L13" i="2"/>
  <c r="L14" i="2" s="1"/>
  <c r="H13" i="2"/>
  <c r="H14" i="2" s="1"/>
  <c r="W13" i="2"/>
  <c r="W14" i="2" s="1"/>
  <c r="R13" i="2"/>
  <c r="R14" i="2" s="1"/>
  <c r="M13" i="2"/>
  <c r="M14" i="2" s="1"/>
  <c r="N13" i="2"/>
  <c r="N14" i="2" s="1"/>
  <c r="AA13" i="2"/>
  <c r="AA14" i="2" s="1"/>
  <c r="V13" i="2"/>
  <c r="V14" i="2" s="1"/>
  <c r="Q13" i="2"/>
  <c r="Q14" i="2" s="1"/>
  <c r="K13" i="2"/>
  <c r="K14" i="2" s="1"/>
  <c r="S13" i="2"/>
  <c r="S14" i="2" s="1"/>
  <c r="Z13" i="2"/>
  <c r="Z14" i="2" s="1"/>
  <c r="U13" i="2"/>
  <c r="U14" i="2" s="1"/>
  <c r="O13" i="2"/>
  <c r="O14" i="2" s="1"/>
  <c r="J13" i="2"/>
  <c r="J14" i="2" s="1"/>
  <c r="Y13" i="2"/>
  <c r="Y14" i="2" s="1"/>
  <c r="I13" i="2"/>
  <c r="I14" i="2" s="1"/>
  <c r="G12" i="2" l="1"/>
  <c r="G14" i="2" s="1"/>
  <c r="E12" i="2"/>
  <c r="E14" i="2" s="1"/>
  <c r="B26" i="2"/>
  <c r="E54" i="1" s="1"/>
  <c r="B25" i="2"/>
  <c r="E53" i="1" s="1"/>
  <c r="B24" i="2"/>
  <c r="E52" i="1" s="1"/>
  <c r="B9" i="2"/>
  <c r="C54" i="1" s="1"/>
  <c r="B8" i="2"/>
  <c r="C53" i="1" s="1"/>
  <c r="B7" i="2"/>
  <c r="C52" i="1" s="1"/>
  <c r="B15" i="2" l="1"/>
  <c r="D52" i="1" s="1"/>
  <c r="B17" i="2"/>
  <c r="D54" i="1" s="1"/>
  <c r="B16" i="2"/>
  <c r="D53" i="1" s="1"/>
</calcChain>
</file>

<file path=xl/sharedStrings.xml><?xml version="1.0" encoding="utf-8"?>
<sst xmlns="http://schemas.openxmlformats.org/spreadsheetml/2006/main" count="99" uniqueCount="65">
  <si>
    <t>Mining</t>
  </si>
  <si>
    <t>Process</t>
  </si>
  <si>
    <t>Moly Seperation</t>
  </si>
  <si>
    <t>Secondary Gold Plant</t>
  </si>
  <si>
    <t>Other Infrastructure</t>
  </si>
  <si>
    <t>Tailings</t>
  </si>
  <si>
    <t>Access Road</t>
  </si>
  <si>
    <t>Port Infrastructure</t>
  </si>
  <si>
    <t>Port Process</t>
  </si>
  <si>
    <t>Power Generation</t>
  </si>
  <si>
    <t>Indirect Costs</t>
  </si>
  <si>
    <t>Contingency</t>
  </si>
  <si>
    <t>Area</t>
  </si>
  <si>
    <t>Total Direct</t>
  </si>
  <si>
    <t>Total Capital</t>
  </si>
  <si>
    <t>Throughput (t/day)</t>
  </si>
  <si>
    <t>Fixed</t>
  </si>
  <si>
    <t>Sustaining Capital</t>
  </si>
  <si>
    <t>Opex ($/t processed)</t>
  </si>
  <si>
    <t>Mine Life</t>
  </si>
  <si>
    <t>Annual Cu</t>
  </si>
  <si>
    <t>Annual Mo</t>
  </si>
  <si>
    <t>Annual Au</t>
  </si>
  <si>
    <t>Annual Metal Value $</t>
  </si>
  <si>
    <t>Annual Opex $</t>
  </si>
  <si>
    <t>Year</t>
  </si>
  <si>
    <t>Expense (Capex &amp; Opex)</t>
  </si>
  <si>
    <t>Gross Income</t>
  </si>
  <si>
    <t>Net</t>
  </si>
  <si>
    <t>Proposed (180k) Project</t>
  </si>
  <si>
    <t>Small (50k) Project</t>
  </si>
  <si>
    <t>Cashflow</t>
  </si>
  <si>
    <t>IRR</t>
  </si>
  <si>
    <t>NPV 7%</t>
  </si>
  <si>
    <t>Big (320k) Project</t>
  </si>
  <si>
    <t>2011 PEA (220k) Project</t>
  </si>
  <si>
    <t>Adjustment</t>
  </si>
  <si>
    <t>6/10 rule</t>
  </si>
  <si>
    <t>Not in Proposed Project</t>
  </si>
  <si>
    <t>40% of Directs</t>
  </si>
  <si>
    <t>18% of Total</t>
  </si>
  <si>
    <t>Table 1 - Project Capital ($millions)</t>
  </si>
  <si>
    <t>Assume 20% fixed, 80% scaled by throughput</t>
  </si>
  <si>
    <t>Table 2 - ProjectOperating Cost</t>
  </si>
  <si>
    <t>320k Big Project ($1000)</t>
  </si>
  <si>
    <t>180k Proposed Project ($1000)</t>
  </si>
  <si>
    <t>50k Small Project ($1000)</t>
  </si>
  <si>
    <t>Ore (tons)</t>
  </si>
  <si>
    <t>Cu Production (pounds)</t>
  </si>
  <si>
    <t>Mo Production (pounds)</t>
  </si>
  <si>
    <t>Au Production (oz)</t>
  </si>
  <si>
    <t>Cu Price $/pound</t>
  </si>
  <si>
    <t>Mo Price $/pound</t>
  </si>
  <si>
    <t>Au price $/oz</t>
  </si>
  <si>
    <t>Table 3 - Model Basis</t>
  </si>
  <si>
    <t>Metric</t>
  </si>
  <si>
    <t>NPV(7%)</t>
  </si>
  <si>
    <t>Table 4 Financial Metrics</t>
  </si>
  <si>
    <t>Not in Proposed Project (Required for Big Project)</t>
  </si>
  <si>
    <t>Capital Scaling Factor</t>
  </si>
  <si>
    <t>NA</t>
  </si>
  <si>
    <t>Assumed fixed</t>
  </si>
  <si>
    <t>Time to process proposed ore in model basis</t>
  </si>
  <si>
    <t>Concentrate &amp; Fuel (Diesel) Pipelines</t>
  </si>
  <si>
    <t>50% scaled (powerplant), 50% fixed pipeline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</si>
</sst>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1" fillId="0" borderId="0" xfId="0" applyFont="1" applyBorder="1"/>
    <xf numFmtId="3" fontId="0" fillId="0" borderId="0" xfId="0" applyNumberFormat="1"/>
    <xf numFmtId="38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3" xfId="0" applyBorder="1"/>
    <xf numFmtId="3" fontId="0" fillId="0" borderId="4" xfId="0" applyNumberFormat="1" applyBorder="1" applyAlignment="1">
      <alignment horizontal="right"/>
    </xf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0" fillId="0" borderId="13" xfId="0" applyBorder="1"/>
    <xf numFmtId="3" fontId="0" fillId="0" borderId="15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26" zoomScale="85" zoomScaleNormal="85" workbookViewId="0">
      <selection activeCell="E24" sqref="E24"/>
    </sheetView>
  </sheetViews>
  <sheetFormatPr baseColWidth="10" defaultColWidth="8.83203125" defaultRowHeight="15" x14ac:dyDescent="0.2"/>
  <cols>
    <col min="1" max="1" width="20.5" customWidth="1"/>
    <col min="2" max="2" width="28.83203125" style="7" customWidth="1"/>
    <col min="3" max="3" width="36.1640625" style="10" customWidth="1"/>
    <col min="4" max="4" width="22.1640625" style="7" customWidth="1"/>
    <col min="5" max="7" width="22.83203125" style="7" customWidth="1"/>
    <col min="8" max="8" width="22.83203125" customWidth="1"/>
  </cols>
  <sheetData>
    <row r="1" spans="1:8" ht="16" thickBot="1" x14ac:dyDescent="0.25">
      <c r="B1" s="90" t="s">
        <v>41</v>
      </c>
      <c r="C1" s="94"/>
      <c r="D1" s="94"/>
      <c r="E1" s="94"/>
      <c r="F1" s="94"/>
      <c r="G1" s="95"/>
    </row>
    <row r="2" spans="1:8" ht="16" x14ac:dyDescent="0.2">
      <c r="A2" s="1"/>
      <c r="B2" s="28" t="s">
        <v>12</v>
      </c>
      <c r="C2" s="29" t="s">
        <v>36</v>
      </c>
      <c r="D2" s="30" t="s">
        <v>30</v>
      </c>
      <c r="E2" s="30" t="s">
        <v>29</v>
      </c>
      <c r="F2" s="59" t="s">
        <v>35</v>
      </c>
      <c r="G2" s="31" t="s">
        <v>34</v>
      </c>
    </row>
    <row r="3" spans="1:8" ht="16" x14ac:dyDescent="0.2">
      <c r="B3" s="15" t="s">
        <v>0</v>
      </c>
      <c r="C3" s="16" t="s">
        <v>37</v>
      </c>
      <c r="D3" s="46">
        <f>$F3*D20</f>
        <v>177.09409840711515</v>
      </c>
      <c r="E3" s="46">
        <f>F3*E20</f>
        <v>381.93159733515444</v>
      </c>
      <c r="F3" s="60">
        <v>430.8</v>
      </c>
      <c r="G3" s="49">
        <f>F3*G20</f>
        <v>539.40140472966743</v>
      </c>
      <c r="H3" s="5">
        <f>F3-E3</f>
        <v>48.868402664845576</v>
      </c>
    </row>
    <row r="4" spans="1:8" ht="16" x14ac:dyDescent="0.2">
      <c r="B4" s="15" t="s">
        <v>1</v>
      </c>
      <c r="C4" s="16" t="s">
        <v>37</v>
      </c>
      <c r="D4" s="46">
        <f>(F4)*$D20</f>
        <v>435.00690560447828</v>
      </c>
      <c r="E4" s="46">
        <f>(F4)*$E20</f>
        <v>938.16159772530273</v>
      </c>
      <c r="F4" s="60">
        <v>1058.2</v>
      </c>
      <c r="G4" s="49">
        <f>F4*G20</f>
        <v>1324.9641747561145</v>
      </c>
      <c r="H4" s="5">
        <f t="shared" ref="H4:H17" si="0">F4-E4</f>
        <v>120.03840227469732</v>
      </c>
    </row>
    <row r="5" spans="1:8" ht="15" customHeight="1" x14ac:dyDescent="0.2">
      <c r="B5" s="15" t="s">
        <v>2</v>
      </c>
      <c r="C5" s="16" t="s">
        <v>38</v>
      </c>
      <c r="D5" s="46">
        <v>0</v>
      </c>
      <c r="E5" s="46">
        <v>0</v>
      </c>
      <c r="F5" s="60">
        <v>83.5</v>
      </c>
      <c r="G5" s="49">
        <v>0</v>
      </c>
      <c r="H5" s="5">
        <f t="shared" si="0"/>
        <v>83.5</v>
      </c>
    </row>
    <row r="6" spans="1:8" ht="16.5" customHeight="1" x14ac:dyDescent="0.2">
      <c r="B6" s="15" t="s">
        <v>3</v>
      </c>
      <c r="C6" s="16" t="s">
        <v>38</v>
      </c>
      <c r="D6" s="46">
        <v>0</v>
      </c>
      <c r="E6" s="46">
        <v>0</v>
      </c>
      <c r="F6" s="60">
        <v>160.5</v>
      </c>
      <c r="G6" s="49">
        <v>0</v>
      </c>
      <c r="H6" s="5">
        <f t="shared" si="0"/>
        <v>160.5</v>
      </c>
    </row>
    <row r="7" spans="1:8" ht="16" x14ac:dyDescent="0.2">
      <c r="B7" s="15" t="s">
        <v>4</v>
      </c>
      <c r="C7" s="16" t="s">
        <v>16</v>
      </c>
      <c r="D7" s="46">
        <f>F7</f>
        <v>422</v>
      </c>
      <c r="E7" s="46">
        <f>F7</f>
        <v>422</v>
      </c>
      <c r="F7" s="60">
        <v>422</v>
      </c>
      <c r="G7" s="49">
        <f>F7</f>
        <v>422</v>
      </c>
      <c r="H7" s="5">
        <f t="shared" si="0"/>
        <v>0</v>
      </c>
    </row>
    <row r="8" spans="1:8" ht="16" x14ac:dyDescent="0.2">
      <c r="B8" s="15" t="s">
        <v>5</v>
      </c>
      <c r="C8" s="16" t="s">
        <v>16</v>
      </c>
      <c r="D8" s="46">
        <f>F8</f>
        <v>294</v>
      </c>
      <c r="E8" s="46">
        <f>F8</f>
        <v>294</v>
      </c>
      <c r="F8" s="60">
        <v>294</v>
      </c>
      <c r="G8" s="49">
        <f>F8</f>
        <v>294</v>
      </c>
      <c r="H8" s="5">
        <f t="shared" si="0"/>
        <v>0</v>
      </c>
    </row>
    <row r="9" spans="1:8" ht="31.5" customHeight="1" x14ac:dyDescent="0.2">
      <c r="B9" s="83" t="s">
        <v>63</v>
      </c>
      <c r="C9" s="16" t="s">
        <v>58</v>
      </c>
      <c r="D9" s="46">
        <v>0</v>
      </c>
      <c r="E9" s="46">
        <v>0</v>
      </c>
      <c r="F9" s="60">
        <v>97.5</v>
      </c>
      <c r="G9" s="49">
        <f>F9</f>
        <v>97.5</v>
      </c>
      <c r="H9" s="5">
        <f t="shared" si="0"/>
        <v>97.5</v>
      </c>
    </row>
    <row r="10" spans="1:8" ht="16" x14ac:dyDescent="0.2">
      <c r="B10" s="15" t="s">
        <v>6</v>
      </c>
      <c r="C10" s="16" t="s">
        <v>16</v>
      </c>
      <c r="D10" s="46">
        <f>F10</f>
        <v>162</v>
      </c>
      <c r="E10" s="46">
        <f>F10</f>
        <v>162</v>
      </c>
      <c r="F10" s="60">
        <v>162</v>
      </c>
      <c r="G10" s="49">
        <f>F10</f>
        <v>162</v>
      </c>
      <c r="H10" s="5">
        <f t="shared" si="0"/>
        <v>0</v>
      </c>
    </row>
    <row r="11" spans="1:8" ht="16" x14ac:dyDescent="0.2">
      <c r="B11" s="15" t="s">
        <v>7</v>
      </c>
      <c r="C11" s="16" t="s">
        <v>16</v>
      </c>
      <c r="D11" s="46">
        <f>F11</f>
        <v>154.5</v>
      </c>
      <c r="E11" s="46">
        <f>F11</f>
        <v>154.5</v>
      </c>
      <c r="F11" s="60">
        <v>154.5</v>
      </c>
      <c r="G11" s="49">
        <f>F11</f>
        <v>154.5</v>
      </c>
      <c r="H11" s="5">
        <f t="shared" si="0"/>
        <v>0</v>
      </c>
    </row>
    <row r="12" spans="1:8" ht="30.75" customHeight="1" x14ac:dyDescent="0.2">
      <c r="B12" s="15" t="s">
        <v>8</v>
      </c>
      <c r="C12" s="16" t="s">
        <v>58</v>
      </c>
      <c r="D12" s="46">
        <v>0</v>
      </c>
      <c r="E12" s="46">
        <v>0</v>
      </c>
      <c r="F12" s="60">
        <v>87.1</v>
      </c>
      <c r="G12" s="49">
        <f>F12*G20</f>
        <v>109.0572477993362</v>
      </c>
      <c r="H12" s="5">
        <f t="shared" si="0"/>
        <v>87.1</v>
      </c>
    </row>
    <row r="13" spans="1:8" s="84" customFormat="1" ht="16" x14ac:dyDescent="0.2">
      <c r="B13" s="85" t="s">
        <v>9</v>
      </c>
      <c r="C13" s="86" t="s">
        <v>64</v>
      </c>
      <c r="D13" s="87">
        <f>($F13/2)+($F13/2)*D20</f>
        <v>376.82943124331501</v>
      </c>
      <c r="E13" s="87">
        <f>($F13/2)+($F13/2)*E20</f>
        <v>503.80680842236075</v>
      </c>
      <c r="F13" s="88">
        <v>534.1</v>
      </c>
      <c r="G13" s="89">
        <f>($F13/2)+($F13/2)*G20</f>
        <v>601.42127468212095</v>
      </c>
      <c r="H13" s="5">
        <f t="shared" si="0"/>
        <v>30.293191577639277</v>
      </c>
    </row>
    <row r="14" spans="1:8" s="1" customFormat="1" x14ac:dyDescent="0.2">
      <c r="B14" s="17" t="s">
        <v>13</v>
      </c>
      <c r="C14" s="13"/>
      <c r="D14" s="53">
        <f>SUM(D3:D13)</f>
        <v>2021.4304352549084</v>
      </c>
      <c r="E14" s="53">
        <f>SUM(E3:E13)</f>
        <v>2856.4000034828177</v>
      </c>
      <c r="F14" s="61">
        <f>SUM(F3:F13)</f>
        <v>3484.2</v>
      </c>
      <c r="G14" s="54">
        <f>SUM(G3:G13)</f>
        <v>3704.8441019672387</v>
      </c>
      <c r="H14" s="5">
        <f t="shared" si="0"/>
        <v>627.79999651718208</v>
      </c>
    </row>
    <row r="15" spans="1:8" ht="16" x14ac:dyDescent="0.2">
      <c r="A15" s="3"/>
      <c r="B15" s="15" t="s">
        <v>10</v>
      </c>
      <c r="C15" s="12" t="s">
        <v>39</v>
      </c>
      <c r="D15" s="46">
        <f>D14*0.4</f>
        <v>808.57217410196336</v>
      </c>
      <c r="E15" s="46">
        <f>E14*0.4</f>
        <v>1142.5600013931271</v>
      </c>
      <c r="F15" s="60">
        <v>1406.8</v>
      </c>
      <c r="G15" s="49">
        <f>G14*0.4</f>
        <v>1481.9376407868956</v>
      </c>
      <c r="H15" s="5">
        <f t="shared" si="0"/>
        <v>264.23999860687286</v>
      </c>
    </row>
    <row r="16" spans="1:8" ht="16" x14ac:dyDescent="0.2">
      <c r="A16" s="3"/>
      <c r="B16" s="55" t="s">
        <v>11</v>
      </c>
      <c r="C16" s="58" t="s">
        <v>40</v>
      </c>
      <c r="D16" s="56">
        <f>SUM(D14:D15)*0.18</f>
        <v>509.4004696842369</v>
      </c>
      <c r="E16" s="56">
        <f>SUM(E14:E15)*0.18</f>
        <v>719.81280087767004</v>
      </c>
      <c r="F16" s="61">
        <v>865.7</v>
      </c>
      <c r="G16" s="57">
        <f>SUM(G14:G15)*0.18</f>
        <v>933.62071369574414</v>
      </c>
      <c r="H16" s="5">
        <f t="shared" si="0"/>
        <v>145.88719912233</v>
      </c>
    </row>
    <row r="17" spans="1:8" s="1" customFormat="1" ht="16" thickBot="1" x14ac:dyDescent="0.25">
      <c r="A17" s="4"/>
      <c r="B17" s="18" t="s">
        <v>14</v>
      </c>
      <c r="C17" s="11"/>
      <c r="D17" s="23">
        <f>SUM(D14:D16)</f>
        <v>3339.4030790411089</v>
      </c>
      <c r="E17" s="23">
        <f>SUM(E14:E16)</f>
        <v>4718.7728057536151</v>
      </c>
      <c r="F17" s="62">
        <f>SUM(F14:F16)</f>
        <v>5756.7</v>
      </c>
      <c r="G17" s="24">
        <f>SUM(G14:G16)</f>
        <v>6120.4024564498777</v>
      </c>
      <c r="H17" s="5">
        <f t="shared" si="0"/>
        <v>1037.9271942463847</v>
      </c>
    </row>
    <row r="18" spans="1:8" s="1" customFormat="1" x14ac:dyDescent="0.2">
      <c r="A18" s="4"/>
      <c r="B18" s="9"/>
      <c r="C18" s="14"/>
      <c r="D18" s="21"/>
      <c r="E18" s="21"/>
      <c r="F18" s="21"/>
      <c r="G18" s="21"/>
    </row>
    <row r="19" spans="1:8" s="1" customFormat="1" ht="16" thickBot="1" x14ac:dyDescent="0.25">
      <c r="A19" s="4"/>
      <c r="B19" s="9"/>
      <c r="C19" s="14"/>
      <c r="D19" s="21"/>
      <c r="E19" s="21"/>
      <c r="F19" s="21"/>
      <c r="G19" s="21"/>
    </row>
    <row r="20" spans="1:8" s="4" customFormat="1" ht="17" thickBot="1" x14ac:dyDescent="0.25">
      <c r="B20" s="27" t="s">
        <v>59</v>
      </c>
      <c r="C20" s="77" t="s">
        <v>37</v>
      </c>
      <c r="D20" s="34">
        <f>(D26/F26)^0.6</f>
        <v>0.41108193687816885</v>
      </c>
      <c r="E20" s="34">
        <f>(E26/F26)^0.6</f>
        <v>0.8865635964140075</v>
      </c>
      <c r="F20" s="78" t="s">
        <v>60</v>
      </c>
      <c r="G20" s="35">
        <f>(G26/F26)^0.6</f>
        <v>1.2520923972369253</v>
      </c>
    </row>
    <row r="21" spans="1:8" s="4" customFormat="1" x14ac:dyDescent="0.2">
      <c r="B21" s="9"/>
      <c r="C21" s="14"/>
      <c r="D21" s="70"/>
      <c r="E21" s="70"/>
      <c r="F21" s="70"/>
      <c r="G21" s="70"/>
    </row>
    <row r="22" spans="1:8" s="4" customFormat="1" ht="16" thickBot="1" x14ac:dyDescent="0.25">
      <c r="B22" s="9"/>
      <c r="C22" s="14"/>
      <c r="D22" s="8"/>
      <c r="E22" s="8"/>
      <c r="F22" s="9"/>
      <c r="G22" s="9"/>
    </row>
    <row r="23" spans="1:8" ht="16" x14ac:dyDescent="0.2">
      <c r="A23" s="1"/>
      <c r="B23" s="39" t="s">
        <v>17</v>
      </c>
      <c r="C23" s="40" t="s">
        <v>61</v>
      </c>
      <c r="D23" s="80">
        <f>F23</f>
        <v>3204</v>
      </c>
      <c r="E23" s="80">
        <f>F23</f>
        <v>3204</v>
      </c>
      <c r="F23" s="81">
        <v>3204</v>
      </c>
      <c r="G23" s="82">
        <f>F23</f>
        <v>3204</v>
      </c>
    </row>
    <row r="24" spans="1:8" s="1" customFormat="1" ht="30.75" customHeight="1" x14ac:dyDescent="0.2">
      <c r="B24" s="19" t="s">
        <v>18</v>
      </c>
      <c r="C24" s="20" t="s">
        <v>42</v>
      </c>
      <c r="D24" s="71">
        <f>D31/D26/365</f>
        <v>18.748800000000003</v>
      </c>
      <c r="E24" s="71">
        <f>E31/E26/365</f>
        <v>11.656000000000001</v>
      </c>
      <c r="F24" s="79">
        <v>11.16</v>
      </c>
      <c r="G24" s="72">
        <f>G31/G26/365</f>
        <v>10.462500000000002</v>
      </c>
    </row>
    <row r="25" spans="1:8" s="1" customFormat="1" ht="27" customHeight="1" x14ac:dyDescent="0.2">
      <c r="B25" s="19" t="s">
        <v>19</v>
      </c>
      <c r="C25" s="20" t="s">
        <v>62</v>
      </c>
      <c r="D25" s="51">
        <f>ROUND(C40/D26/365,0)</f>
        <v>71</v>
      </c>
      <c r="E25" s="51">
        <f>ROUND(C40/E26/365,0)</f>
        <v>20</v>
      </c>
      <c r="F25" s="42"/>
      <c r="G25" s="52">
        <f>ROUND(C40/G26/365,0)</f>
        <v>11</v>
      </c>
    </row>
    <row r="26" spans="1:8" s="1" customFormat="1" x14ac:dyDescent="0.2">
      <c r="B26" s="19" t="s">
        <v>15</v>
      </c>
      <c r="C26" s="14"/>
      <c r="D26" s="73">
        <v>50000</v>
      </c>
      <c r="E26" s="73">
        <v>180000</v>
      </c>
      <c r="F26" s="60">
        <v>220000</v>
      </c>
      <c r="G26" s="74">
        <v>320000</v>
      </c>
    </row>
    <row r="27" spans="1:8" s="1" customFormat="1" x14ac:dyDescent="0.2">
      <c r="B27" s="19" t="s">
        <v>20</v>
      </c>
      <c r="C27" s="14"/>
      <c r="D27" s="73">
        <f>C41/D25</f>
        <v>92957746.478873238</v>
      </c>
      <c r="E27" s="73">
        <f>$C41/E25</f>
        <v>330000000</v>
      </c>
      <c r="F27" s="60"/>
      <c r="G27" s="74">
        <f>$C41/G25</f>
        <v>600000000</v>
      </c>
    </row>
    <row r="28" spans="1:8" s="1" customFormat="1" x14ac:dyDescent="0.2">
      <c r="B28" s="19" t="s">
        <v>21</v>
      </c>
      <c r="C28" s="14"/>
      <c r="D28" s="73">
        <f>C42/D25</f>
        <v>4450704.2253521131</v>
      </c>
      <c r="E28" s="73">
        <f>C42/E25</f>
        <v>15800000</v>
      </c>
      <c r="F28" s="60"/>
      <c r="G28" s="74">
        <f>C42/G25</f>
        <v>28727272.727272727</v>
      </c>
    </row>
    <row r="29" spans="1:8" s="1" customFormat="1" x14ac:dyDescent="0.2">
      <c r="B29" s="19" t="s">
        <v>22</v>
      </c>
      <c r="C29" s="14"/>
      <c r="D29" s="73">
        <f>C43/D25</f>
        <v>97183.098591549293</v>
      </c>
      <c r="E29" s="73">
        <f>C43/E25</f>
        <v>345000</v>
      </c>
      <c r="F29" s="60"/>
      <c r="G29" s="74">
        <f>C43/G25</f>
        <v>627272.72727272729</v>
      </c>
    </row>
    <row r="30" spans="1:8" s="1" customFormat="1" x14ac:dyDescent="0.2">
      <c r="B30" s="19" t="s">
        <v>23</v>
      </c>
      <c r="C30" s="14"/>
      <c r="D30" s="73">
        <f>(D27*$C44)+(D28*$C45)+(D29*$C46)</f>
        <v>435957746.47887325</v>
      </c>
      <c r="E30" s="73">
        <f>(E27*$C44)+(E28*$C45)+(E29*$C46)</f>
        <v>1547650000</v>
      </c>
      <c r="F30" s="60"/>
      <c r="G30" s="74">
        <f>(G27*$C44)+(G28*$C45)+(G29*$C46)</f>
        <v>2813909090.909091</v>
      </c>
    </row>
    <row r="31" spans="1:8" s="1" customFormat="1" ht="18.75" customHeight="1" thickBot="1" x14ac:dyDescent="0.25">
      <c r="A31" s="2"/>
      <c r="B31" s="22" t="s">
        <v>24</v>
      </c>
      <c r="C31" s="11" t="s">
        <v>42</v>
      </c>
      <c r="D31" s="75">
        <f>($F24*0.2*$F26*365)+($F24*0.8*D26*365)</f>
        <v>342165600.00000006</v>
      </c>
      <c r="E31" s="75">
        <f t="shared" ref="E31:G31" si="1">($F24*0.2*$F26*365)+($F24*0.8*E26*365)</f>
        <v>765799200.00000012</v>
      </c>
      <c r="F31" s="62"/>
      <c r="G31" s="76">
        <f t="shared" si="1"/>
        <v>1222020000.0000002</v>
      </c>
    </row>
    <row r="33" spans="2:7" ht="16" thickBot="1" x14ac:dyDescent="0.25"/>
    <row r="34" spans="2:7" ht="16" thickBot="1" x14ac:dyDescent="0.25">
      <c r="B34" s="90" t="s">
        <v>43</v>
      </c>
      <c r="C34" s="94"/>
      <c r="D34" s="94"/>
      <c r="E34" s="94"/>
      <c r="F34" s="94"/>
      <c r="G34" s="95"/>
    </row>
    <row r="35" spans="2:7" ht="17" thickBot="1" x14ac:dyDescent="0.25">
      <c r="B35" s="28" t="s">
        <v>12</v>
      </c>
      <c r="C35" s="29" t="s">
        <v>36</v>
      </c>
      <c r="D35" s="30" t="s">
        <v>30</v>
      </c>
      <c r="E35" s="30" t="s">
        <v>29</v>
      </c>
      <c r="F35" s="59" t="s">
        <v>35</v>
      </c>
      <c r="G35" s="31" t="s">
        <v>34</v>
      </c>
    </row>
    <row r="36" spans="2:7" ht="17" thickBot="1" x14ac:dyDescent="0.25">
      <c r="B36" s="32" t="s">
        <v>18</v>
      </c>
      <c r="C36" s="33" t="s">
        <v>42</v>
      </c>
      <c r="D36" s="34">
        <v>18.748800000000003</v>
      </c>
      <c r="E36" s="34">
        <v>11.656000000000001</v>
      </c>
      <c r="F36" s="78">
        <v>11.16</v>
      </c>
      <c r="G36" s="35">
        <v>10.462500000000002</v>
      </c>
    </row>
    <row r="37" spans="2:7" x14ac:dyDescent="0.2">
      <c r="B37" s="66"/>
      <c r="C37" s="16"/>
      <c r="D37" s="70"/>
      <c r="E37" s="70"/>
      <c r="F37" s="70"/>
      <c r="G37" s="70"/>
    </row>
    <row r="38" spans="2:7" ht="16" thickBot="1" x14ac:dyDescent="0.25"/>
    <row r="39" spans="2:7" ht="16" thickBot="1" x14ac:dyDescent="0.25">
      <c r="B39" s="90" t="s">
        <v>54</v>
      </c>
      <c r="C39" s="93"/>
    </row>
    <row r="40" spans="2:7" x14ac:dyDescent="0.2">
      <c r="B40" s="63" t="s">
        <v>47</v>
      </c>
      <c r="C40" s="64">
        <v>1300000000</v>
      </c>
    </row>
    <row r="41" spans="2:7" x14ac:dyDescent="0.2">
      <c r="B41" s="36" t="s">
        <v>48</v>
      </c>
      <c r="C41" s="37">
        <v>6600000000</v>
      </c>
    </row>
    <row r="42" spans="2:7" x14ac:dyDescent="0.2">
      <c r="B42" s="36" t="s">
        <v>49</v>
      </c>
      <c r="C42" s="37">
        <v>316000000</v>
      </c>
    </row>
    <row r="43" spans="2:7" x14ac:dyDescent="0.2">
      <c r="B43" s="36" t="s">
        <v>50</v>
      </c>
      <c r="C43" s="37">
        <v>6900000</v>
      </c>
    </row>
    <row r="44" spans="2:7" x14ac:dyDescent="0.2">
      <c r="B44" s="36" t="s">
        <v>51</v>
      </c>
      <c r="C44" s="97">
        <v>3</v>
      </c>
    </row>
    <row r="45" spans="2:7" x14ac:dyDescent="0.2">
      <c r="B45" s="36" t="s">
        <v>52</v>
      </c>
      <c r="C45" s="97">
        <v>8</v>
      </c>
    </row>
    <row r="46" spans="2:7" ht="16" thickBot="1" x14ac:dyDescent="0.25">
      <c r="B46" s="38" t="s">
        <v>53</v>
      </c>
      <c r="C46" s="98">
        <v>1250</v>
      </c>
    </row>
    <row r="47" spans="2:7" x14ac:dyDescent="0.2">
      <c r="B47" s="65"/>
      <c r="C47" s="69"/>
    </row>
    <row r="48" spans="2:7" ht="16" thickBot="1" x14ac:dyDescent="0.25"/>
    <row r="49" spans="1:5" ht="16" thickBot="1" x14ac:dyDescent="0.25">
      <c r="B49" s="90" t="s">
        <v>57</v>
      </c>
      <c r="C49" s="91"/>
      <c r="D49" s="91"/>
      <c r="E49" s="92"/>
    </row>
    <row r="50" spans="1:5" ht="17" thickBot="1" x14ac:dyDescent="0.25">
      <c r="B50" s="41" t="s">
        <v>55</v>
      </c>
      <c r="C50" s="25" t="s">
        <v>30</v>
      </c>
      <c r="D50" s="25" t="s">
        <v>29</v>
      </c>
      <c r="E50" s="26" t="s">
        <v>34</v>
      </c>
    </row>
    <row r="51" spans="1:5" ht="16" x14ac:dyDescent="0.2">
      <c r="B51" s="50" t="s">
        <v>19</v>
      </c>
      <c r="C51" s="51">
        <f>D25</f>
        <v>71</v>
      </c>
      <c r="D51" s="51">
        <f>E25</f>
        <v>20</v>
      </c>
      <c r="E51" s="52">
        <f>G25</f>
        <v>11</v>
      </c>
    </row>
    <row r="52" spans="1:5" x14ac:dyDescent="0.2">
      <c r="B52" s="42" t="s">
        <v>31</v>
      </c>
      <c r="C52" s="44">
        <f>Models!B7</f>
        <v>115839.32095889316</v>
      </c>
      <c r="D52" s="46">
        <f>Models!B15</f>
        <v>7714243.1942463825</v>
      </c>
      <c r="E52" s="49">
        <f>Models!B24</f>
        <v>8186377.5435501188</v>
      </c>
    </row>
    <row r="53" spans="1:5" x14ac:dyDescent="0.2">
      <c r="A53" s="65"/>
      <c r="B53" s="42" t="s">
        <v>56</v>
      </c>
      <c r="C53" s="44">
        <f>Models!B8</f>
        <v>-2301784.5622799485</v>
      </c>
      <c r="D53" s="44">
        <f>Models!B16</f>
        <v>1028387.9785859906</v>
      </c>
      <c r="E53" s="47">
        <f>Models!B25</f>
        <v>2257665.5827433718</v>
      </c>
    </row>
    <row r="54" spans="1:5" ht="16" thickBot="1" x14ac:dyDescent="0.25">
      <c r="A54" s="65"/>
      <c r="B54" s="43" t="s">
        <v>32</v>
      </c>
      <c r="C54" s="45">
        <f>Models!B9</f>
        <v>9.1442987008671928E-4</v>
      </c>
      <c r="D54" s="45">
        <f>Models!B17</f>
        <v>9.5943805547922922E-2</v>
      </c>
      <c r="E54" s="48">
        <f>Models!B26</f>
        <v>0.12943063956190959</v>
      </c>
    </row>
    <row r="55" spans="1:5" x14ac:dyDescent="0.2">
      <c r="A55" s="96"/>
      <c r="B55" s="96"/>
    </row>
    <row r="56" spans="1:5" x14ac:dyDescent="0.2">
      <c r="A56" s="65"/>
      <c r="B56" s="67"/>
    </row>
    <row r="57" spans="1:5" x14ac:dyDescent="0.2">
      <c r="A57" s="65"/>
      <c r="B57" s="67"/>
    </row>
    <row r="58" spans="1:5" x14ac:dyDescent="0.2">
      <c r="A58" s="65"/>
      <c r="B58" s="67"/>
    </row>
    <row r="59" spans="1:5" x14ac:dyDescent="0.2">
      <c r="A59" s="65"/>
      <c r="B59" s="67"/>
    </row>
    <row r="60" spans="1:5" x14ac:dyDescent="0.2">
      <c r="A60" s="65"/>
      <c r="B60" s="68"/>
    </row>
    <row r="61" spans="1:5" x14ac:dyDescent="0.2">
      <c r="A61" s="65"/>
      <c r="B61" s="68"/>
    </row>
    <row r="62" spans="1:5" x14ac:dyDescent="0.2">
      <c r="A62" s="65"/>
      <c r="B62" s="69"/>
    </row>
    <row r="63" spans="1:5" x14ac:dyDescent="0.2">
      <c r="A63" s="65"/>
      <c r="B63" s="66"/>
    </row>
  </sheetData>
  <mergeCells count="5">
    <mergeCell ref="B49:E49"/>
    <mergeCell ref="B39:C39"/>
    <mergeCell ref="B1:G1"/>
    <mergeCell ref="B34:G34"/>
    <mergeCell ref="A55:B5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27"/>
  <sheetViews>
    <sheetView topLeftCell="A3" workbookViewId="0">
      <selection activeCell="H12" sqref="H12"/>
    </sheetView>
  </sheetViews>
  <sheetFormatPr baseColWidth="10" defaultColWidth="8.83203125" defaultRowHeight="15" x14ac:dyDescent="0.2"/>
  <cols>
    <col min="1" max="1" width="25.33203125" customWidth="1"/>
    <col min="2" max="2" width="14.6640625" customWidth="1"/>
    <col min="3" max="3" width="14.83203125" customWidth="1"/>
    <col min="4" max="7" width="11.5" customWidth="1"/>
    <col min="8" max="8" width="12.6640625" bestFit="1" customWidth="1"/>
    <col min="9" max="27" width="12.5" customWidth="1"/>
    <col min="28" max="79" width="12.83203125" customWidth="1"/>
  </cols>
  <sheetData>
    <row r="1" spans="1:83" x14ac:dyDescent="0.2">
      <c r="A1" t="s">
        <v>25</v>
      </c>
      <c r="D1">
        <v>-4</v>
      </c>
      <c r="E1">
        <v>-3</v>
      </c>
      <c r="F1">
        <v>-2</v>
      </c>
      <c r="G1">
        <v>-1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  <c r="AW1">
        <v>42</v>
      </c>
      <c r="AX1">
        <v>43</v>
      </c>
      <c r="AY1">
        <v>44</v>
      </c>
      <c r="AZ1">
        <v>45</v>
      </c>
      <c r="BA1">
        <v>46</v>
      </c>
      <c r="BB1">
        <v>47</v>
      </c>
      <c r="BC1">
        <v>48</v>
      </c>
      <c r="BD1">
        <v>49</v>
      </c>
      <c r="BE1">
        <v>50</v>
      </c>
      <c r="BF1">
        <v>51</v>
      </c>
      <c r="BG1">
        <v>52</v>
      </c>
      <c r="BH1">
        <v>53</v>
      </c>
      <c r="BI1">
        <v>54</v>
      </c>
      <c r="BJ1">
        <v>55</v>
      </c>
      <c r="BK1">
        <v>56</v>
      </c>
      <c r="BL1">
        <v>57</v>
      </c>
      <c r="BM1">
        <v>58</v>
      </c>
      <c r="BN1">
        <v>59</v>
      </c>
      <c r="BO1">
        <v>60</v>
      </c>
      <c r="BP1">
        <v>61</v>
      </c>
      <c r="BQ1">
        <v>62</v>
      </c>
      <c r="BR1">
        <v>63</v>
      </c>
      <c r="BS1">
        <v>64</v>
      </c>
      <c r="BT1">
        <v>65</v>
      </c>
      <c r="BU1">
        <v>66</v>
      </c>
      <c r="BV1">
        <v>67</v>
      </c>
      <c r="BW1">
        <v>68</v>
      </c>
      <c r="BX1">
        <v>69</v>
      </c>
      <c r="BY1">
        <v>70</v>
      </c>
      <c r="BZ1">
        <v>71</v>
      </c>
      <c r="CA1">
        <v>72</v>
      </c>
      <c r="CB1">
        <v>73</v>
      </c>
      <c r="CC1">
        <v>74</v>
      </c>
      <c r="CD1">
        <v>75</v>
      </c>
    </row>
    <row r="3" spans="1:83" x14ac:dyDescent="0.2">
      <c r="A3" s="2" t="s">
        <v>46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x14ac:dyDescent="0.2">
      <c r="A4" t="s">
        <v>26</v>
      </c>
      <c r="D4" s="5">
        <f>(Inputs!$D$17/4)*1000</f>
        <v>834850.76976027724</v>
      </c>
      <c r="E4" s="5">
        <f>(Inputs!$D$17/4)*1000</f>
        <v>834850.76976027724</v>
      </c>
      <c r="F4" s="5">
        <f>(Inputs!$D$17/4)*1000</f>
        <v>834850.76976027724</v>
      </c>
      <c r="G4" s="5">
        <f>(Inputs!$D$17/4)*1000</f>
        <v>834850.76976027724</v>
      </c>
      <c r="H4" s="5">
        <f>(Inputs!$D$31/1000)+(Inputs!$D$23*1000)/Inputs!$D$25</f>
        <v>387292.36056338029</v>
      </c>
      <c r="I4" s="5">
        <f>(Inputs!$D$31/1000)+(Inputs!$D$23*1000)/Inputs!$D$25</f>
        <v>387292.36056338029</v>
      </c>
      <c r="J4" s="5">
        <f>(Inputs!$D$31/1000)+(Inputs!$D$23*1000)/Inputs!$D$25</f>
        <v>387292.36056338029</v>
      </c>
      <c r="K4" s="5">
        <f>(Inputs!$D$31/1000)+(Inputs!$D$23*1000)/Inputs!$D$25</f>
        <v>387292.36056338029</v>
      </c>
      <c r="L4" s="5">
        <f>(Inputs!$D$31/1000)+(Inputs!$D$23*1000)/Inputs!$D$25</f>
        <v>387292.36056338029</v>
      </c>
      <c r="M4" s="5">
        <f>(Inputs!$D$31/1000)+(Inputs!$D$23*1000)/Inputs!$D$25</f>
        <v>387292.36056338029</v>
      </c>
      <c r="N4" s="5">
        <f>(Inputs!$D$31/1000)+(Inputs!$D$23*1000)/Inputs!$D$25</f>
        <v>387292.36056338029</v>
      </c>
      <c r="O4" s="5">
        <f>(Inputs!$D$31/1000)+(Inputs!$D$23*1000)/Inputs!$D$25</f>
        <v>387292.36056338029</v>
      </c>
      <c r="P4" s="5">
        <f>(Inputs!$D$31/1000)+(Inputs!$D$23*1000)/Inputs!$D$25</f>
        <v>387292.36056338029</v>
      </c>
      <c r="Q4" s="5">
        <f>(Inputs!$D$31/1000)+(Inputs!$D$23*1000)/Inputs!$D$25</f>
        <v>387292.36056338029</v>
      </c>
      <c r="R4" s="5">
        <f>(Inputs!$D$31/1000)+(Inputs!$D$23*1000)/Inputs!$D$25</f>
        <v>387292.36056338029</v>
      </c>
      <c r="S4" s="5">
        <f>(Inputs!$D$31/1000)+(Inputs!$D$23*1000)/Inputs!$D$25</f>
        <v>387292.36056338029</v>
      </c>
      <c r="T4" s="5">
        <f>(Inputs!$D$31/1000)+(Inputs!$D$23*1000)/Inputs!$D$25</f>
        <v>387292.36056338029</v>
      </c>
      <c r="U4" s="5">
        <f>(Inputs!$D$31/1000)+(Inputs!$D$23*1000)/Inputs!$D$25</f>
        <v>387292.36056338029</v>
      </c>
      <c r="V4" s="5">
        <f>(Inputs!$D$31/1000)+(Inputs!$D$23*1000)/Inputs!$D$25</f>
        <v>387292.36056338029</v>
      </c>
      <c r="W4" s="5">
        <f>(Inputs!$D$31/1000)+(Inputs!$D$23*1000)/Inputs!$D$25</f>
        <v>387292.36056338029</v>
      </c>
      <c r="X4" s="5">
        <f>(Inputs!$D$31/1000)+(Inputs!$D$23*1000)/Inputs!$D$25</f>
        <v>387292.36056338029</v>
      </c>
      <c r="Y4" s="5">
        <f>(Inputs!$D$31/1000)+(Inputs!$D$23*1000)/Inputs!$D$25</f>
        <v>387292.36056338029</v>
      </c>
      <c r="Z4" s="5">
        <f>(Inputs!$D$31/1000)+(Inputs!$D$23*1000)/Inputs!$D$25</f>
        <v>387292.36056338029</v>
      </c>
      <c r="AA4" s="5">
        <f>(Inputs!$D$31/1000)+(Inputs!$D$23*1000)/Inputs!$D$25</f>
        <v>387292.36056338029</v>
      </c>
      <c r="AB4" s="5">
        <f>(Inputs!$D$31/1000)+(Inputs!$D$23*1000)/Inputs!$D$25</f>
        <v>387292.36056338029</v>
      </c>
      <c r="AC4" s="5">
        <f>(Inputs!$D$31/1000)+(Inputs!$D$23*1000)/Inputs!$D$25</f>
        <v>387292.36056338029</v>
      </c>
      <c r="AD4" s="5">
        <f>(Inputs!$D$31/1000)+(Inputs!$D$23*1000)/Inputs!$D$25</f>
        <v>387292.36056338029</v>
      </c>
      <c r="AE4" s="5">
        <f>(Inputs!$D$31/1000)+(Inputs!$D$23*1000)/Inputs!$D$25</f>
        <v>387292.36056338029</v>
      </c>
      <c r="AF4" s="5">
        <f>(Inputs!$D$31/1000)+(Inputs!$D$23*1000)/Inputs!$D$25</f>
        <v>387292.36056338029</v>
      </c>
      <c r="AG4" s="5">
        <f>(Inputs!$D$31/1000)+(Inputs!$D$23*1000)/Inputs!$D$25</f>
        <v>387292.36056338029</v>
      </c>
      <c r="AH4" s="5">
        <f>(Inputs!$D$31/1000)+(Inputs!$D$23*1000)/Inputs!$D$25</f>
        <v>387292.36056338029</v>
      </c>
      <c r="AI4" s="5">
        <f>(Inputs!$D$31/1000)+(Inputs!$D$23*1000)/Inputs!$D$25</f>
        <v>387292.36056338029</v>
      </c>
      <c r="AJ4" s="5">
        <f>(Inputs!$D$31/1000)+(Inputs!$D$23*1000)/Inputs!$D$25</f>
        <v>387292.36056338029</v>
      </c>
      <c r="AK4" s="5">
        <f>(Inputs!$D$31/1000)+(Inputs!$D$23*1000)/Inputs!$D$25</f>
        <v>387292.36056338029</v>
      </c>
      <c r="AL4" s="5">
        <f>(Inputs!$D$31/1000)+(Inputs!$D$23*1000)/Inputs!$D$25</f>
        <v>387292.36056338029</v>
      </c>
      <c r="AM4" s="5">
        <f>(Inputs!$D$31/1000)+(Inputs!$D$23*1000)/Inputs!$D$25</f>
        <v>387292.36056338029</v>
      </c>
      <c r="AN4" s="5">
        <f>(Inputs!$D$31/1000)+(Inputs!$D$23*1000)/Inputs!$D$25</f>
        <v>387292.36056338029</v>
      </c>
      <c r="AO4" s="5">
        <f>(Inputs!$D$31/1000)+(Inputs!$D$23*1000)/Inputs!$D$25</f>
        <v>387292.36056338029</v>
      </c>
      <c r="AP4" s="5">
        <f>(Inputs!$D$31/1000)+(Inputs!$D$23*1000)/Inputs!$D$25</f>
        <v>387292.36056338029</v>
      </c>
      <c r="AQ4" s="5">
        <f>(Inputs!$D$31/1000)+(Inputs!$D$23*1000)/Inputs!$D$25</f>
        <v>387292.36056338029</v>
      </c>
      <c r="AR4" s="5">
        <f>(Inputs!$D$31/1000)+(Inputs!$D$23*1000)/Inputs!$D$25</f>
        <v>387292.36056338029</v>
      </c>
      <c r="AS4" s="5">
        <f>(Inputs!$D$31/1000)+(Inputs!$D$23*1000)/Inputs!$D$25</f>
        <v>387292.36056338029</v>
      </c>
      <c r="AT4" s="5">
        <f>(Inputs!$D$31/1000)+(Inputs!$D$23*1000)/Inputs!$D$25</f>
        <v>387292.36056338029</v>
      </c>
      <c r="AU4" s="5">
        <f>(Inputs!$D$31/1000)+(Inputs!$D$23*1000)/Inputs!$D$25</f>
        <v>387292.36056338029</v>
      </c>
      <c r="AV4" s="5">
        <f>(Inputs!$D$31/1000)+(Inputs!$D$23*1000)/Inputs!$D$25</f>
        <v>387292.36056338029</v>
      </c>
      <c r="AW4" s="5">
        <f>(Inputs!$D$31/1000)+(Inputs!$D$23*1000)/Inputs!$D$25</f>
        <v>387292.36056338029</v>
      </c>
      <c r="AX4" s="5">
        <f>(Inputs!$D$31/1000)+(Inputs!$D$23*1000)/Inputs!$D$25</f>
        <v>387292.36056338029</v>
      </c>
      <c r="AY4" s="5">
        <f>(Inputs!$D$31/1000)+(Inputs!$D$23*1000)/Inputs!$D$25</f>
        <v>387292.36056338029</v>
      </c>
      <c r="AZ4" s="5">
        <f>(Inputs!$D$31/1000)+(Inputs!$D$23*1000)/Inputs!$D$25</f>
        <v>387292.36056338029</v>
      </c>
      <c r="BA4" s="5">
        <f>(Inputs!$D$31/1000)+(Inputs!$D$23*1000)/Inputs!$D$25</f>
        <v>387292.36056338029</v>
      </c>
      <c r="BB4" s="5">
        <f>(Inputs!$D$31/1000)+(Inputs!$D$23*1000)/Inputs!$D$25</f>
        <v>387292.36056338029</v>
      </c>
      <c r="BC4" s="5">
        <f>(Inputs!$D$31/1000)+(Inputs!$D$23*1000)/Inputs!$D$25</f>
        <v>387292.36056338029</v>
      </c>
      <c r="BD4" s="5">
        <f>(Inputs!$D$31/1000)+(Inputs!$D$23*1000)/Inputs!$D$25</f>
        <v>387292.36056338029</v>
      </c>
      <c r="BE4" s="5">
        <f>(Inputs!$D$31/1000)+(Inputs!$D$23*1000)/Inputs!$D$25</f>
        <v>387292.36056338029</v>
      </c>
      <c r="BF4" s="5">
        <f>(Inputs!$D$31/1000)+(Inputs!$D$23*1000)/Inputs!$D$25</f>
        <v>387292.36056338029</v>
      </c>
      <c r="BG4" s="5">
        <f>(Inputs!$D$31/1000)+(Inputs!$D$23*1000)/Inputs!$D$25</f>
        <v>387292.36056338029</v>
      </c>
      <c r="BH4" s="5">
        <f>(Inputs!$D$31/1000)+(Inputs!$D$23*1000)/Inputs!$D$25</f>
        <v>387292.36056338029</v>
      </c>
      <c r="BI4" s="5">
        <f>(Inputs!$D$31/1000)+(Inputs!$D$23*1000)/Inputs!$D$25</f>
        <v>387292.36056338029</v>
      </c>
      <c r="BJ4" s="5">
        <f>(Inputs!$D$31/1000)+(Inputs!$D$23*1000)/Inputs!$D$25</f>
        <v>387292.36056338029</v>
      </c>
      <c r="BK4" s="5">
        <f>(Inputs!$D$31/1000)+(Inputs!$D$23*1000)/Inputs!$D$25</f>
        <v>387292.36056338029</v>
      </c>
      <c r="BL4" s="5">
        <f>(Inputs!$D$31/1000)+(Inputs!$D$23*1000)/Inputs!$D$25</f>
        <v>387292.36056338029</v>
      </c>
      <c r="BM4" s="5">
        <f>(Inputs!$D$31/1000)+(Inputs!$D$23*1000)/Inputs!$D$25</f>
        <v>387292.36056338029</v>
      </c>
      <c r="BN4" s="5">
        <f>(Inputs!$D$31/1000)+(Inputs!$D$23*1000)/Inputs!$D$25</f>
        <v>387292.36056338029</v>
      </c>
      <c r="BO4" s="5">
        <f>(Inputs!$D$31/1000)+(Inputs!$D$23*1000)/Inputs!$D$25</f>
        <v>387292.36056338029</v>
      </c>
      <c r="BP4" s="5">
        <f>(Inputs!$D$31/1000)+(Inputs!$D$23*1000)/Inputs!$D$25</f>
        <v>387292.36056338029</v>
      </c>
      <c r="BQ4" s="5">
        <f>(Inputs!$D$31/1000)+(Inputs!$D$23*1000)/Inputs!$D$25</f>
        <v>387292.36056338029</v>
      </c>
      <c r="BR4" s="5">
        <f>(Inputs!$D$31/1000)+(Inputs!$D$23*1000)/Inputs!$D$25</f>
        <v>387292.36056338029</v>
      </c>
      <c r="BS4" s="5">
        <f>(Inputs!$D$31/1000)+(Inputs!$D$23*1000)/Inputs!$D$25</f>
        <v>387292.36056338029</v>
      </c>
      <c r="BT4" s="5">
        <f>(Inputs!$D$31/1000)+(Inputs!$D$23*1000)/Inputs!$D$25</f>
        <v>387292.36056338029</v>
      </c>
      <c r="BU4" s="5">
        <f>(Inputs!$D$31/1000)+(Inputs!$D$23*1000)/Inputs!$D$25</f>
        <v>387292.36056338029</v>
      </c>
      <c r="BV4" s="5">
        <f>(Inputs!$D$31/1000)+(Inputs!$D$23*1000)/Inputs!$D$25</f>
        <v>387292.36056338029</v>
      </c>
      <c r="BW4" s="5">
        <f>(Inputs!$D$31/1000)+(Inputs!$D$23*1000)/Inputs!$D$25</f>
        <v>387292.36056338029</v>
      </c>
      <c r="BX4" s="5">
        <f>(Inputs!$D$31/1000)+(Inputs!$D$23*1000)/Inputs!$D$25</f>
        <v>387292.36056338029</v>
      </c>
      <c r="BY4" s="5">
        <f>(Inputs!$D$31/1000)+(Inputs!$D$23*1000)/Inputs!$D$25</f>
        <v>387292.36056338029</v>
      </c>
      <c r="BZ4" s="5">
        <f>(Inputs!$D$31/1000)+(Inputs!$D$23*1000)/Inputs!$D$25</f>
        <v>387292.36056338029</v>
      </c>
      <c r="CA4" s="5"/>
      <c r="CB4" s="5"/>
      <c r="CC4" s="5"/>
      <c r="CD4" s="5"/>
      <c r="CE4" s="5"/>
    </row>
    <row r="5" spans="1:83" x14ac:dyDescent="0.2">
      <c r="A5" t="s">
        <v>27</v>
      </c>
      <c r="D5" s="5"/>
      <c r="E5" s="5"/>
      <c r="F5" s="5"/>
      <c r="G5" s="5"/>
      <c r="H5" s="5">
        <f>Inputs!$D$30/1000</f>
        <v>435957.74647887325</v>
      </c>
      <c r="I5" s="5">
        <f>Inputs!$D$30/1000</f>
        <v>435957.74647887325</v>
      </c>
      <c r="J5" s="5">
        <f>Inputs!$D$30/1000</f>
        <v>435957.74647887325</v>
      </c>
      <c r="K5" s="5">
        <f>Inputs!$D$30/1000</f>
        <v>435957.74647887325</v>
      </c>
      <c r="L5" s="5">
        <f>Inputs!$D$30/1000</f>
        <v>435957.74647887325</v>
      </c>
      <c r="M5" s="5">
        <f>Inputs!$D$30/1000</f>
        <v>435957.74647887325</v>
      </c>
      <c r="N5" s="5">
        <f>Inputs!$D$30/1000</f>
        <v>435957.74647887325</v>
      </c>
      <c r="O5" s="5">
        <f>Inputs!$D$30/1000</f>
        <v>435957.74647887325</v>
      </c>
      <c r="P5" s="5">
        <f>Inputs!$D$30/1000</f>
        <v>435957.74647887325</v>
      </c>
      <c r="Q5" s="5">
        <f>Inputs!$D$30/1000</f>
        <v>435957.74647887325</v>
      </c>
      <c r="R5" s="5">
        <f>Inputs!$D$30/1000</f>
        <v>435957.74647887325</v>
      </c>
      <c r="S5" s="5">
        <f>Inputs!$D$30/1000</f>
        <v>435957.74647887325</v>
      </c>
      <c r="T5" s="5">
        <f>Inputs!$D$30/1000</f>
        <v>435957.74647887325</v>
      </c>
      <c r="U5" s="5">
        <f>Inputs!$D$30/1000</f>
        <v>435957.74647887325</v>
      </c>
      <c r="V5" s="5">
        <f>Inputs!$D$30/1000</f>
        <v>435957.74647887325</v>
      </c>
      <c r="W5" s="5">
        <f>Inputs!$D$30/1000</f>
        <v>435957.74647887325</v>
      </c>
      <c r="X5" s="5">
        <f>Inputs!$D$30/1000</f>
        <v>435957.74647887325</v>
      </c>
      <c r="Y5" s="5">
        <f>Inputs!$D$30/1000</f>
        <v>435957.74647887325</v>
      </c>
      <c r="Z5" s="5">
        <f>Inputs!$D$30/1000</f>
        <v>435957.74647887325</v>
      </c>
      <c r="AA5" s="5">
        <f>Inputs!$D$30/1000</f>
        <v>435957.74647887325</v>
      </c>
      <c r="AB5" s="5">
        <f>Inputs!$D$30/1000</f>
        <v>435957.74647887325</v>
      </c>
      <c r="AC5" s="5">
        <f>Inputs!$D$30/1000</f>
        <v>435957.74647887325</v>
      </c>
      <c r="AD5" s="5">
        <f>Inputs!$D$30/1000</f>
        <v>435957.74647887325</v>
      </c>
      <c r="AE5" s="5">
        <f>Inputs!$D$30/1000</f>
        <v>435957.74647887325</v>
      </c>
      <c r="AF5" s="5">
        <f>Inputs!$D$30/1000</f>
        <v>435957.74647887325</v>
      </c>
      <c r="AG5" s="5">
        <f>Inputs!$D$30/1000</f>
        <v>435957.74647887325</v>
      </c>
      <c r="AH5" s="5">
        <f>Inputs!$D$30/1000</f>
        <v>435957.74647887325</v>
      </c>
      <c r="AI5" s="5">
        <f>Inputs!$D$30/1000</f>
        <v>435957.74647887325</v>
      </c>
      <c r="AJ5" s="5">
        <f>Inputs!$D$30/1000</f>
        <v>435957.74647887325</v>
      </c>
      <c r="AK5" s="5">
        <f>Inputs!$D$30/1000</f>
        <v>435957.74647887325</v>
      </c>
      <c r="AL5" s="5">
        <f>Inputs!$D$30/1000</f>
        <v>435957.74647887325</v>
      </c>
      <c r="AM5" s="5">
        <f>Inputs!$D$30/1000</f>
        <v>435957.74647887325</v>
      </c>
      <c r="AN5" s="5">
        <f>Inputs!$D$30/1000</f>
        <v>435957.74647887325</v>
      </c>
      <c r="AO5" s="5">
        <f>Inputs!$D$30/1000</f>
        <v>435957.74647887325</v>
      </c>
      <c r="AP5" s="5">
        <f>Inputs!$D$30/1000</f>
        <v>435957.74647887325</v>
      </c>
      <c r="AQ5" s="5">
        <f>Inputs!$D$30/1000</f>
        <v>435957.74647887325</v>
      </c>
      <c r="AR5" s="5">
        <f>Inputs!$D$30/1000</f>
        <v>435957.74647887325</v>
      </c>
      <c r="AS5" s="5">
        <f>Inputs!$D$30/1000</f>
        <v>435957.74647887325</v>
      </c>
      <c r="AT5" s="5">
        <f>Inputs!$D$30/1000</f>
        <v>435957.74647887325</v>
      </c>
      <c r="AU5" s="5">
        <f>Inputs!$D$30/1000</f>
        <v>435957.74647887325</v>
      </c>
      <c r="AV5" s="5">
        <f>Inputs!$D$30/1000</f>
        <v>435957.74647887325</v>
      </c>
      <c r="AW5" s="5">
        <f>Inputs!$D$30/1000</f>
        <v>435957.74647887325</v>
      </c>
      <c r="AX5" s="5">
        <f>Inputs!$D$30/1000</f>
        <v>435957.74647887325</v>
      </c>
      <c r="AY5" s="5">
        <f>Inputs!$D$30/1000</f>
        <v>435957.74647887325</v>
      </c>
      <c r="AZ5" s="5">
        <f>Inputs!$D$30/1000</f>
        <v>435957.74647887325</v>
      </c>
      <c r="BA5" s="5">
        <f>Inputs!$D$30/1000</f>
        <v>435957.74647887325</v>
      </c>
      <c r="BB5" s="5">
        <f>Inputs!$D$30/1000</f>
        <v>435957.74647887325</v>
      </c>
      <c r="BC5" s="5">
        <f>Inputs!$D$30/1000</f>
        <v>435957.74647887325</v>
      </c>
      <c r="BD5" s="5">
        <f>Inputs!$D$30/1000</f>
        <v>435957.74647887325</v>
      </c>
      <c r="BE5" s="5">
        <f>Inputs!$D$30/1000</f>
        <v>435957.74647887325</v>
      </c>
      <c r="BF5" s="5">
        <f>Inputs!$D$30/1000</f>
        <v>435957.74647887325</v>
      </c>
      <c r="BG5" s="5">
        <f>Inputs!$D$30/1000</f>
        <v>435957.74647887325</v>
      </c>
      <c r="BH5" s="5">
        <f>Inputs!$D$30/1000</f>
        <v>435957.74647887325</v>
      </c>
      <c r="BI5" s="5">
        <f>Inputs!$D$30/1000</f>
        <v>435957.74647887325</v>
      </c>
      <c r="BJ5" s="5">
        <f>Inputs!$D$30/1000</f>
        <v>435957.74647887325</v>
      </c>
      <c r="BK5" s="5">
        <f>Inputs!$D$30/1000</f>
        <v>435957.74647887325</v>
      </c>
      <c r="BL5" s="5">
        <f>Inputs!$D$30/1000</f>
        <v>435957.74647887325</v>
      </c>
      <c r="BM5" s="5">
        <f>Inputs!$D$30/1000</f>
        <v>435957.74647887325</v>
      </c>
      <c r="BN5" s="5">
        <f>Inputs!$D$30/1000</f>
        <v>435957.74647887325</v>
      </c>
      <c r="BO5" s="5">
        <f>Inputs!$D$30/1000</f>
        <v>435957.74647887325</v>
      </c>
      <c r="BP5" s="5">
        <f>Inputs!$D$30/1000</f>
        <v>435957.74647887325</v>
      </c>
      <c r="BQ5" s="5">
        <f>Inputs!$D$30/1000</f>
        <v>435957.74647887325</v>
      </c>
      <c r="BR5" s="5">
        <f>Inputs!$D$30/1000</f>
        <v>435957.74647887325</v>
      </c>
      <c r="BS5" s="5">
        <f>Inputs!$D$30/1000</f>
        <v>435957.74647887325</v>
      </c>
      <c r="BT5" s="5">
        <f>Inputs!$D$30/1000</f>
        <v>435957.74647887325</v>
      </c>
      <c r="BU5" s="5">
        <f>Inputs!$D$30/1000</f>
        <v>435957.74647887325</v>
      </c>
      <c r="BV5" s="5">
        <f>Inputs!$D$30/1000</f>
        <v>435957.74647887325</v>
      </c>
      <c r="BW5" s="5">
        <f>Inputs!$D$30/1000</f>
        <v>435957.74647887325</v>
      </c>
      <c r="BX5" s="5">
        <f>Inputs!$D$30/1000</f>
        <v>435957.74647887325</v>
      </c>
      <c r="BY5" s="5">
        <f>Inputs!$D$30/1000</f>
        <v>435957.74647887325</v>
      </c>
      <c r="BZ5" s="5">
        <f>Inputs!$D$30/1000</f>
        <v>435957.74647887325</v>
      </c>
      <c r="CA5" s="5"/>
      <c r="CB5" s="5"/>
      <c r="CC5" s="5"/>
      <c r="CD5" s="5"/>
      <c r="CE5" s="5"/>
    </row>
    <row r="6" spans="1:83" x14ac:dyDescent="0.2">
      <c r="A6" t="s">
        <v>28</v>
      </c>
      <c r="D6" s="5">
        <f t="shared" ref="D6:AI6" si="0">D5-D4</f>
        <v>-834850.76976027724</v>
      </c>
      <c r="E6" s="5">
        <f t="shared" si="0"/>
        <v>-834850.76976027724</v>
      </c>
      <c r="F6" s="5">
        <f t="shared" si="0"/>
        <v>-834850.76976027724</v>
      </c>
      <c r="G6" s="5">
        <f t="shared" si="0"/>
        <v>-834850.76976027724</v>
      </c>
      <c r="H6" s="5">
        <f t="shared" si="0"/>
        <v>48665.385915492952</v>
      </c>
      <c r="I6" s="5">
        <f t="shared" si="0"/>
        <v>48665.385915492952</v>
      </c>
      <c r="J6" s="5">
        <f t="shared" si="0"/>
        <v>48665.385915492952</v>
      </c>
      <c r="K6" s="5">
        <f t="shared" si="0"/>
        <v>48665.385915492952</v>
      </c>
      <c r="L6" s="5">
        <f t="shared" si="0"/>
        <v>48665.385915492952</v>
      </c>
      <c r="M6" s="5">
        <f t="shared" si="0"/>
        <v>48665.385915492952</v>
      </c>
      <c r="N6" s="5">
        <f t="shared" si="0"/>
        <v>48665.385915492952</v>
      </c>
      <c r="O6" s="5">
        <f t="shared" si="0"/>
        <v>48665.385915492952</v>
      </c>
      <c r="P6" s="5">
        <f t="shared" si="0"/>
        <v>48665.385915492952</v>
      </c>
      <c r="Q6" s="5">
        <f t="shared" si="0"/>
        <v>48665.385915492952</v>
      </c>
      <c r="R6" s="5">
        <f t="shared" si="0"/>
        <v>48665.385915492952</v>
      </c>
      <c r="S6" s="5">
        <f t="shared" si="0"/>
        <v>48665.385915492952</v>
      </c>
      <c r="T6" s="5">
        <f t="shared" si="0"/>
        <v>48665.385915492952</v>
      </c>
      <c r="U6" s="5">
        <f t="shared" si="0"/>
        <v>48665.385915492952</v>
      </c>
      <c r="V6" s="5">
        <f t="shared" si="0"/>
        <v>48665.385915492952</v>
      </c>
      <c r="W6" s="5">
        <f t="shared" si="0"/>
        <v>48665.385915492952</v>
      </c>
      <c r="X6" s="5">
        <f t="shared" si="0"/>
        <v>48665.385915492952</v>
      </c>
      <c r="Y6" s="5">
        <f t="shared" si="0"/>
        <v>48665.385915492952</v>
      </c>
      <c r="Z6" s="5">
        <f t="shared" si="0"/>
        <v>48665.385915492952</v>
      </c>
      <c r="AA6" s="5">
        <f t="shared" si="0"/>
        <v>48665.385915492952</v>
      </c>
      <c r="AB6" s="5">
        <f t="shared" si="0"/>
        <v>48665.385915492952</v>
      </c>
      <c r="AC6" s="5">
        <f t="shared" si="0"/>
        <v>48665.385915492952</v>
      </c>
      <c r="AD6" s="5">
        <f t="shared" si="0"/>
        <v>48665.385915492952</v>
      </c>
      <c r="AE6" s="5">
        <f t="shared" si="0"/>
        <v>48665.385915492952</v>
      </c>
      <c r="AF6" s="5">
        <f t="shared" si="0"/>
        <v>48665.385915492952</v>
      </c>
      <c r="AG6" s="5">
        <f t="shared" si="0"/>
        <v>48665.385915492952</v>
      </c>
      <c r="AH6" s="5">
        <f t="shared" si="0"/>
        <v>48665.385915492952</v>
      </c>
      <c r="AI6" s="5">
        <f t="shared" si="0"/>
        <v>48665.385915492952</v>
      </c>
      <c r="AJ6" s="5">
        <f t="shared" ref="AJ6:BO6" si="1">AJ5-AJ4</f>
        <v>48665.385915492952</v>
      </c>
      <c r="AK6" s="5">
        <f t="shared" si="1"/>
        <v>48665.385915492952</v>
      </c>
      <c r="AL6" s="5">
        <f t="shared" si="1"/>
        <v>48665.385915492952</v>
      </c>
      <c r="AM6" s="5">
        <f t="shared" si="1"/>
        <v>48665.385915492952</v>
      </c>
      <c r="AN6" s="5">
        <f t="shared" si="1"/>
        <v>48665.385915492952</v>
      </c>
      <c r="AO6" s="5">
        <f t="shared" si="1"/>
        <v>48665.385915492952</v>
      </c>
      <c r="AP6" s="5">
        <f t="shared" si="1"/>
        <v>48665.385915492952</v>
      </c>
      <c r="AQ6" s="5">
        <f t="shared" si="1"/>
        <v>48665.385915492952</v>
      </c>
      <c r="AR6" s="5">
        <f t="shared" si="1"/>
        <v>48665.385915492952</v>
      </c>
      <c r="AS6" s="5">
        <f t="shared" si="1"/>
        <v>48665.385915492952</v>
      </c>
      <c r="AT6" s="5">
        <f t="shared" si="1"/>
        <v>48665.385915492952</v>
      </c>
      <c r="AU6" s="5">
        <f t="shared" si="1"/>
        <v>48665.385915492952</v>
      </c>
      <c r="AV6" s="5">
        <f t="shared" si="1"/>
        <v>48665.385915492952</v>
      </c>
      <c r="AW6" s="5">
        <f t="shared" si="1"/>
        <v>48665.385915492952</v>
      </c>
      <c r="AX6" s="5">
        <f t="shared" si="1"/>
        <v>48665.385915492952</v>
      </c>
      <c r="AY6" s="5">
        <f t="shared" si="1"/>
        <v>48665.385915492952</v>
      </c>
      <c r="AZ6" s="5">
        <f t="shared" si="1"/>
        <v>48665.385915492952</v>
      </c>
      <c r="BA6" s="5">
        <f t="shared" si="1"/>
        <v>48665.385915492952</v>
      </c>
      <c r="BB6" s="5">
        <f t="shared" si="1"/>
        <v>48665.385915492952</v>
      </c>
      <c r="BC6" s="5">
        <f t="shared" si="1"/>
        <v>48665.385915492952</v>
      </c>
      <c r="BD6" s="5">
        <f t="shared" si="1"/>
        <v>48665.385915492952</v>
      </c>
      <c r="BE6" s="5">
        <f t="shared" si="1"/>
        <v>48665.385915492952</v>
      </c>
      <c r="BF6" s="5">
        <f t="shared" si="1"/>
        <v>48665.385915492952</v>
      </c>
      <c r="BG6" s="5">
        <f t="shared" si="1"/>
        <v>48665.385915492952</v>
      </c>
      <c r="BH6" s="5">
        <f t="shared" si="1"/>
        <v>48665.385915492952</v>
      </c>
      <c r="BI6" s="5">
        <f t="shared" si="1"/>
        <v>48665.385915492952</v>
      </c>
      <c r="BJ6" s="5">
        <f t="shared" si="1"/>
        <v>48665.385915492952</v>
      </c>
      <c r="BK6" s="5">
        <f t="shared" si="1"/>
        <v>48665.385915492952</v>
      </c>
      <c r="BL6" s="5">
        <f t="shared" si="1"/>
        <v>48665.385915492952</v>
      </c>
      <c r="BM6" s="5">
        <f t="shared" si="1"/>
        <v>48665.385915492952</v>
      </c>
      <c r="BN6" s="5">
        <f t="shared" si="1"/>
        <v>48665.385915492952</v>
      </c>
      <c r="BO6" s="5">
        <f t="shared" si="1"/>
        <v>48665.385915492952</v>
      </c>
      <c r="BP6" s="5">
        <f t="shared" ref="BP6:BZ6" si="2">BP5-BP4</f>
        <v>48665.385915492952</v>
      </c>
      <c r="BQ6" s="5">
        <f t="shared" si="2"/>
        <v>48665.385915492952</v>
      </c>
      <c r="BR6" s="5">
        <f t="shared" si="2"/>
        <v>48665.385915492952</v>
      </c>
      <c r="BS6" s="5">
        <f t="shared" si="2"/>
        <v>48665.385915492952</v>
      </c>
      <c r="BT6" s="5">
        <f t="shared" si="2"/>
        <v>48665.385915492952</v>
      </c>
      <c r="BU6" s="5">
        <f t="shared" si="2"/>
        <v>48665.385915492952</v>
      </c>
      <c r="BV6" s="5">
        <f t="shared" si="2"/>
        <v>48665.385915492952</v>
      </c>
      <c r="BW6" s="5">
        <f t="shared" si="2"/>
        <v>48665.385915492952</v>
      </c>
      <c r="BX6" s="5">
        <f t="shared" si="2"/>
        <v>48665.385915492952</v>
      </c>
      <c r="BY6" s="5">
        <f t="shared" si="2"/>
        <v>48665.385915492952</v>
      </c>
      <c r="BZ6" s="5">
        <f t="shared" si="2"/>
        <v>48665.385915492952</v>
      </c>
      <c r="CA6" s="5"/>
      <c r="CB6" s="5"/>
      <c r="CC6" s="5"/>
      <c r="CD6" s="5"/>
      <c r="CE6" s="5"/>
    </row>
    <row r="7" spans="1:83" x14ac:dyDescent="0.2">
      <c r="A7" t="s">
        <v>31</v>
      </c>
      <c r="B7" s="6">
        <f>SUM(D6:BZ6)</f>
        <v>115839.32095889316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x14ac:dyDescent="0.2">
      <c r="A8" t="s">
        <v>33</v>
      </c>
      <c r="B8" s="6">
        <f>NPV(7%,D6:BZ6)</f>
        <v>-2301784.5622799485</v>
      </c>
    </row>
    <row r="9" spans="1:83" x14ac:dyDescent="0.2">
      <c r="A9" t="s">
        <v>32</v>
      </c>
      <c r="B9" s="3">
        <f>IRR(D6:BZ6)</f>
        <v>9.1442987008671928E-4</v>
      </c>
    </row>
    <row r="11" spans="1:83" x14ac:dyDescent="0.2">
      <c r="A11" s="2" t="s">
        <v>45</v>
      </c>
    </row>
    <row r="12" spans="1:83" x14ac:dyDescent="0.2">
      <c r="A12" t="s">
        <v>26</v>
      </c>
      <c r="D12" s="5">
        <f>(Inputs!$E$17/4)*1000</f>
        <v>1179693.2014384037</v>
      </c>
      <c r="E12" s="5">
        <f>(Inputs!$E$17/4)*1000</f>
        <v>1179693.2014384037</v>
      </c>
      <c r="F12" s="5">
        <f>(Inputs!$E$17/4)*1000</f>
        <v>1179693.2014384037</v>
      </c>
      <c r="G12" s="5">
        <f>(Inputs!$E$17/4)*1000</f>
        <v>1179693.2014384037</v>
      </c>
      <c r="H12" s="5">
        <f>(Inputs!$E$31/1000)+(Inputs!$E$23*1000)/Inputs!$E$25</f>
        <v>925999.20000000007</v>
      </c>
      <c r="I12" s="5">
        <f>(Inputs!$E$31/1000)+(Inputs!$E$23*1000)/Inputs!$E$25</f>
        <v>925999.20000000007</v>
      </c>
      <c r="J12" s="5">
        <f>(Inputs!$E$31/1000)+(Inputs!$E$23*1000)/Inputs!$E$25</f>
        <v>925999.20000000007</v>
      </c>
      <c r="K12" s="5">
        <f>(Inputs!$E$31/1000)+(Inputs!$E$23*1000)/Inputs!$E$25</f>
        <v>925999.20000000007</v>
      </c>
      <c r="L12" s="5">
        <f>(Inputs!$E$31/1000)+(Inputs!$E$23*1000)/Inputs!$E$25</f>
        <v>925999.20000000007</v>
      </c>
      <c r="M12" s="5">
        <f>(Inputs!$E$31/1000)+(Inputs!$E$23*1000)/Inputs!$E$25</f>
        <v>925999.20000000007</v>
      </c>
      <c r="N12" s="5">
        <f>(Inputs!$E$31/1000)+(Inputs!$E$23*1000)/Inputs!$E$25</f>
        <v>925999.20000000007</v>
      </c>
      <c r="O12" s="5">
        <f>(Inputs!$E$31/1000)+(Inputs!$E$23*1000)/Inputs!$E$25</f>
        <v>925999.20000000007</v>
      </c>
      <c r="P12" s="5">
        <f>(Inputs!$E$31/1000)+(Inputs!$E$23*1000)/Inputs!$E$25</f>
        <v>925999.20000000007</v>
      </c>
      <c r="Q12" s="5">
        <f>(Inputs!$E$31/1000)+(Inputs!$E$23*1000)/Inputs!$E$25</f>
        <v>925999.20000000007</v>
      </c>
      <c r="R12" s="5">
        <f>(Inputs!$E$31/1000)+(Inputs!$E$23*1000)/Inputs!$E$25</f>
        <v>925999.20000000007</v>
      </c>
      <c r="S12" s="5">
        <f>(Inputs!$E$31/1000)+(Inputs!$E$23*1000)/Inputs!$E$25</f>
        <v>925999.20000000007</v>
      </c>
      <c r="T12" s="5">
        <f>(Inputs!$E$31/1000)+(Inputs!$E$23*1000)/Inputs!$E$25</f>
        <v>925999.20000000007</v>
      </c>
      <c r="U12" s="5">
        <f>(Inputs!$E$31/1000)+(Inputs!$E$23*1000)/Inputs!$E$25</f>
        <v>925999.20000000007</v>
      </c>
      <c r="V12" s="5">
        <f>(Inputs!$E$31/1000)+(Inputs!$E$23*1000)/Inputs!$E$25</f>
        <v>925999.20000000007</v>
      </c>
      <c r="W12" s="5">
        <f>(Inputs!$E$31/1000)+(Inputs!$E$23*1000)/Inputs!$E$25</f>
        <v>925999.20000000007</v>
      </c>
      <c r="X12" s="5">
        <f>(Inputs!$E$31/1000)+(Inputs!$E$23*1000)/Inputs!$E$25</f>
        <v>925999.20000000007</v>
      </c>
      <c r="Y12" s="5">
        <f>(Inputs!$E$31/1000)+(Inputs!$E$23*1000)/Inputs!$E$25</f>
        <v>925999.20000000007</v>
      </c>
      <c r="Z12" s="5">
        <f>(Inputs!$E$31/1000)+(Inputs!$E$23*1000)/Inputs!$E$25</f>
        <v>925999.20000000007</v>
      </c>
      <c r="AA12" s="5">
        <f>(Inputs!$E$31/1000)+(Inputs!$E$23*1000)/Inputs!$E$25</f>
        <v>925999.20000000007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1:83" x14ac:dyDescent="0.2">
      <c r="A13" t="s">
        <v>27</v>
      </c>
      <c r="D13" s="5"/>
      <c r="E13" s="5"/>
      <c r="F13" s="5"/>
      <c r="G13" s="5"/>
      <c r="H13" s="5">
        <f>Inputs!$E$30/1000</f>
        <v>1547650</v>
      </c>
      <c r="I13" s="5">
        <f>Inputs!$E$30/1000</f>
        <v>1547650</v>
      </c>
      <c r="J13" s="5">
        <f>Inputs!$E$30/1000</f>
        <v>1547650</v>
      </c>
      <c r="K13" s="5">
        <f>Inputs!$E$30/1000</f>
        <v>1547650</v>
      </c>
      <c r="L13" s="5">
        <f>Inputs!$E$30/1000</f>
        <v>1547650</v>
      </c>
      <c r="M13" s="5">
        <f>Inputs!$E$30/1000</f>
        <v>1547650</v>
      </c>
      <c r="N13" s="5">
        <f>Inputs!$E$30/1000</f>
        <v>1547650</v>
      </c>
      <c r="O13" s="5">
        <f>Inputs!$E$30/1000</f>
        <v>1547650</v>
      </c>
      <c r="P13" s="5">
        <f>Inputs!$E$30/1000</f>
        <v>1547650</v>
      </c>
      <c r="Q13" s="5">
        <f>Inputs!$E$30/1000</f>
        <v>1547650</v>
      </c>
      <c r="R13" s="5">
        <f>Inputs!$E$30/1000</f>
        <v>1547650</v>
      </c>
      <c r="S13" s="5">
        <f>Inputs!$E$30/1000</f>
        <v>1547650</v>
      </c>
      <c r="T13" s="5">
        <f>Inputs!$E$30/1000</f>
        <v>1547650</v>
      </c>
      <c r="U13" s="5">
        <f>Inputs!$E$30/1000</f>
        <v>1547650</v>
      </c>
      <c r="V13" s="5">
        <f>Inputs!$E$30/1000</f>
        <v>1547650</v>
      </c>
      <c r="W13" s="5">
        <f>Inputs!$E$30/1000</f>
        <v>1547650</v>
      </c>
      <c r="X13" s="5">
        <f>Inputs!$E$30/1000</f>
        <v>1547650</v>
      </c>
      <c r="Y13" s="5">
        <f>Inputs!$E$30/1000</f>
        <v>1547650</v>
      </c>
      <c r="Z13" s="5">
        <f>Inputs!$E$30/1000</f>
        <v>1547650</v>
      </c>
      <c r="AA13" s="5">
        <f>Inputs!$E$30/1000</f>
        <v>1547650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</row>
    <row r="14" spans="1:83" x14ac:dyDescent="0.2">
      <c r="A14" t="s">
        <v>28</v>
      </c>
      <c r="D14" s="5">
        <f>D13-D12</f>
        <v>-1179693.2014384037</v>
      </c>
      <c r="E14" s="5">
        <f t="shared" ref="E14:AA14" si="3">E13-E12</f>
        <v>-1179693.2014384037</v>
      </c>
      <c r="F14" s="5">
        <f t="shared" si="3"/>
        <v>-1179693.2014384037</v>
      </c>
      <c r="G14" s="5">
        <f t="shared" si="3"/>
        <v>-1179693.2014384037</v>
      </c>
      <c r="H14" s="5">
        <f t="shared" si="3"/>
        <v>621650.79999999993</v>
      </c>
      <c r="I14" s="5">
        <f t="shared" si="3"/>
        <v>621650.79999999993</v>
      </c>
      <c r="J14" s="5">
        <f t="shared" si="3"/>
        <v>621650.79999999993</v>
      </c>
      <c r="K14" s="5">
        <f t="shared" si="3"/>
        <v>621650.79999999993</v>
      </c>
      <c r="L14" s="5">
        <f t="shared" si="3"/>
        <v>621650.79999999993</v>
      </c>
      <c r="M14" s="5">
        <f t="shared" si="3"/>
        <v>621650.79999999993</v>
      </c>
      <c r="N14" s="5">
        <f t="shared" si="3"/>
        <v>621650.79999999993</v>
      </c>
      <c r="O14" s="5">
        <f t="shared" si="3"/>
        <v>621650.79999999993</v>
      </c>
      <c r="P14" s="5">
        <f t="shared" si="3"/>
        <v>621650.79999999993</v>
      </c>
      <c r="Q14" s="5">
        <f t="shared" si="3"/>
        <v>621650.79999999993</v>
      </c>
      <c r="R14" s="5">
        <f t="shared" si="3"/>
        <v>621650.79999999993</v>
      </c>
      <c r="S14" s="5">
        <f t="shared" si="3"/>
        <v>621650.79999999993</v>
      </c>
      <c r="T14" s="5">
        <f t="shared" si="3"/>
        <v>621650.79999999993</v>
      </c>
      <c r="U14" s="5">
        <f t="shared" si="3"/>
        <v>621650.79999999993</v>
      </c>
      <c r="V14" s="5">
        <f t="shared" si="3"/>
        <v>621650.79999999993</v>
      </c>
      <c r="W14" s="5">
        <f t="shared" si="3"/>
        <v>621650.79999999993</v>
      </c>
      <c r="X14" s="5">
        <f t="shared" si="3"/>
        <v>621650.79999999993</v>
      </c>
      <c r="Y14" s="5">
        <f t="shared" si="3"/>
        <v>621650.79999999993</v>
      </c>
      <c r="Z14" s="5">
        <f t="shared" si="3"/>
        <v>621650.79999999993</v>
      </c>
      <c r="AA14" s="5">
        <f t="shared" si="3"/>
        <v>621650.79999999993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</row>
    <row r="15" spans="1:83" x14ac:dyDescent="0.2">
      <c r="A15" t="s">
        <v>31</v>
      </c>
      <c r="B15" s="5">
        <f>SUM(D14:AA14)</f>
        <v>7714243.1942463825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</row>
    <row r="16" spans="1:83" x14ac:dyDescent="0.2">
      <c r="A16" t="s">
        <v>33</v>
      </c>
      <c r="B16" s="6">
        <f>NPV(7%,D14:AA14)</f>
        <v>1028387.9785859906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</row>
    <row r="17" spans="1:83" x14ac:dyDescent="0.2">
      <c r="A17" t="s">
        <v>32</v>
      </c>
      <c r="B17" s="3">
        <f>IRR(D14:AA14)</f>
        <v>9.5943805547922922E-2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</row>
    <row r="18" spans="1:83" x14ac:dyDescent="0.2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  <row r="19" spans="1:83" x14ac:dyDescent="0.2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83" x14ac:dyDescent="0.2">
      <c r="A20" s="2" t="s">
        <v>44</v>
      </c>
    </row>
    <row r="21" spans="1:83" x14ac:dyDescent="0.2">
      <c r="A21" t="s">
        <v>26</v>
      </c>
      <c r="D21" s="5">
        <f>(Inputs!$G$17/4)*1000</f>
        <v>1530100.6141124694</v>
      </c>
      <c r="E21" s="5">
        <f>(Inputs!$G$17/4)*1000</f>
        <v>1530100.6141124694</v>
      </c>
      <c r="F21" s="5">
        <f>(Inputs!$G$17/4)*1000</f>
        <v>1530100.6141124694</v>
      </c>
      <c r="G21" s="5">
        <f>(Inputs!$G$17/4)*1000</f>
        <v>1530100.6141124694</v>
      </c>
      <c r="H21" s="5">
        <f>(Inputs!$G$31/1000)+(Inputs!$G$23*1000)/Inputs!$G$25</f>
        <v>1513292.7272727275</v>
      </c>
      <c r="I21" s="5">
        <f>(Inputs!$G$31/1000)+(Inputs!$G$23*1000)/Inputs!$G$25</f>
        <v>1513292.7272727275</v>
      </c>
      <c r="J21" s="5">
        <f>(Inputs!$G$31/1000)+(Inputs!$G$23*1000)/Inputs!$G$25</f>
        <v>1513292.7272727275</v>
      </c>
      <c r="K21" s="5">
        <f>(Inputs!$G$31/1000)+(Inputs!$G$23*1000)/Inputs!$G$25</f>
        <v>1513292.7272727275</v>
      </c>
      <c r="L21" s="5">
        <f>(Inputs!$G$31/1000)+(Inputs!$G$23*1000)/Inputs!$G$25</f>
        <v>1513292.7272727275</v>
      </c>
      <c r="M21" s="5">
        <f>(Inputs!$G$31/1000)+(Inputs!$G$23*1000)/Inputs!$G$25</f>
        <v>1513292.7272727275</v>
      </c>
      <c r="N21" s="5">
        <f>(Inputs!$G$31/1000)+(Inputs!$G$23*1000)/Inputs!$G$25</f>
        <v>1513292.7272727275</v>
      </c>
      <c r="O21" s="5">
        <f>(Inputs!$G$31/1000)+(Inputs!$G$23*1000)/Inputs!$G$25</f>
        <v>1513292.7272727275</v>
      </c>
      <c r="P21" s="5">
        <f>(Inputs!$G$31/1000)+(Inputs!$G$23*1000)/Inputs!$G$25</f>
        <v>1513292.7272727275</v>
      </c>
      <c r="Q21" s="5">
        <f>(Inputs!$G$31/1000)+(Inputs!$G$23*1000)/Inputs!$G$25</f>
        <v>1513292.7272727275</v>
      </c>
      <c r="R21" s="5">
        <f>(Inputs!$G$31/1000)+(Inputs!$G$23*1000)/Inputs!$G$25</f>
        <v>1513292.7272727275</v>
      </c>
      <c r="S21" s="5"/>
    </row>
    <row r="22" spans="1:83" x14ac:dyDescent="0.2">
      <c r="A22" t="s">
        <v>27</v>
      </c>
      <c r="D22" s="5"/>
      <c r="E22" s="5"/>
      <c r="F22" s="5"/>
      <c r="G22" s="5"/>
      <c r="H22" s="5">
        <f>Inputs!$G$30/1000</f>
        <v>2813909.0909090908</v>
      </c>
      <c r="I22" s="5">
        <f>Inputs!$G$30/1000</f>
        <v>2813909.0909090908</v>
      </c>
      <c r="J22" s="5">
        <f>Inputs!$G$30/1000</f>
        <v>2813909.0909090908</v>
      </c>
      <c r="K22" s="5">
        <f>Inputs!$G$30/1000</f>
        <v>2813909.0909090908</v>
      </c>
      <c r="L22" s="5">
        <f>Inputs!$G$30/1000</f>
        <v>2813909.0909090908</v>
      </c>
      <c r="M22" s="5">
        <f>Inputs!$G$30/1000</f>
        <v>2813909.0909090908</v>
      </c>
      <c r="N22" s="5">
        <f>Inputs!$G$30/1000</f>
        <v>2813909.0909090908</v>
      </c>
      <c r="O22" s="5">
        <f>Inputs!$G$30/1000</f>
        <v>2813909.0909090908</v>
      </c>
      <c r="P22" s="5">
        <f>Inputs!$G$30/1000</f>
        <v>2813909.0909090908</v>
      </c>
      <c r="Q22" s="5">
        <f>Inputs!$G$30/1000</f>
        <v>2813909.0909090908</v>
      </c>
      <c r="R22" s="5">
        <f>Inputs!$G$30/1000</f>
        <v>2813909.0909090908</v>
      </c>
      <c r="S22" s="5"/>
    </row>
    <row r="23" spans="1:83" x14ac:dyDescent="0.2">
      <c r="A23" t="s">
        <v>28</v>
      </c>
      <c r="D23" s="5">
        <f>D22-D21</f>
        <v>-1530100.6141124694</v>
      </c>
      <c r="E23" s="5">
        <f t="shared" ref="E23:R23" si="4">E22-E21</f>
        <v>-1530100.6141124694</v>
      </c>
      <c r="F23" s="5">
        <f t="shared" si="4"/>
        <v>-1530100.6141124694</v>
      </c>
      <c r="G23" s="5">
        <f t="shared" si="4"/>
        <v>-1530100.6141124694</v>
      </c>
      <c r="H23" s="5">
        <f t="shared" si="4"/>
        <v>1300616.3636363633</v>
      </c>
      <c r="I23" s="5">
        <f t="shared" si="4"/>
        <v>1300616.3636363633</v>
      </c>
      <c r="J23" s="5">
        <f t="shared" si="4"/>
        <v>1300616.3636363633</v>
      </c>
      <c r="K23" s="5">
        <f t="shared" si="4"/>
        <v>1300616.3636363633</v>
      </c>
      <c r="L23" s="5">
        <f t="shared" si="4"/>
        <v>1300616.3636363633</v>
      </c>
      <c r="M23" s="5">
        <f t="shared" si="4"/>
        <v>1300616.3636363633</v>
      </c>
      <c r="N23" s="5">
        <f t="shared" si="4"/>
        <v>1300616.3636363633</v>
      </c>
      <c r="O23" s="5">
        <f t="shared" si="4"/>
        <v>1300616.3636363633</v>
      </c>
      <c r="P23" s="5">
        <f t="shared" si="4"/>
        <v>1300616.3636363633</v>
      </c>
      <c r="Q23" s="5">
        <f t="shared" si="4"/>
        <v>1300616.3636363633</v>
      </c>
      <c r="R23" s="5">
        <f t="shared" si="4"/>
        <v>1300616.3636363633</v>
      </c>
      <c r="S23" s="5"/>
    </row>
    <row r="24" spans="1:83" x14ac:dyDescent="0.2">
      <c r="A24" t="s">
        <v>31</v>
      </c>
      <c r="B24" s="5">
        <f>SUM(D23:R23)</f>
        <v>8186377.5435501188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83" x14ac:dyDescent="0.2">
      <c r="A25" t="s">
        <v>33</v>
      </c>
      <c r="B25" s="6">
        <f>NPV(7%,D23:R23)</f>
        <v>2257665.5827433718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83" x14ac:dyDescent="0.2">
      <c r="A26" t="s">
        <v>32</v>
      </c>
      <c r="B26" s="3">
        <f>IRR(D23:R23)</f>
        <v>0.12943063956190959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83" x14ac:dyDescent="0.2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2020-08-14T00:55:33Z</dcterms:modified>
</cp:coreProperties>
</file>